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tables/table1.xml" ContentType="application/vnd.openxmlformats-officedocument.spreadsheetml.table+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malcalakovalski/Documents/Projects/fim/data/"/>
    </mc:Choice>
  </mc:AlternateContent>
  <xr:revisionPtr revIDLastSave="0" documentId="13_ncr:1_{E1A2C873-7612-174C-87C6-EDF6BBAEE8F2}" xr6:coauthVersionLast="47" xr6:coauthVersionMax="47" xr10:uidLastSave="{00000000-0000-0000-0000-000000000000}"/>
  <bookViews>
    <workbookView xWindow="16800" yWindow="500" windowWidth="16800" windowHeight="20500" firstSheet="20" activeTab="22" xr2:uid="{3EAFBCD7-4A13-4D60-AAC3-1DFFB598EB0F}"/>
  </bookViews>
  <sheets>
    <sheet name="Guide to the FIM Spreadsheet" sheetId="54" r:id="rId1"/>
    <sheet name="Checklist (New Quarter Release)" sheetId="53" r:id="rId2"/>
    <sheet name="Checklist (Monthly Revision)" sheetId="51" r:id="rId3"/>
    <sheet name="Checklist (CBO Budget Release)" sheetId="19" r:id="rId4"/>
    <sheet name="Revisions" sheetId="46" r:id="rId5"/>
    <sheet name="forecast comparison" sheetId="55" r:id="rId6"/>
    <sheet name="forecast" sheetId="35" r:id="rId7"/>
    <sheet name="MPI Haver pull test" sheetId="57" r:id="rId8"/>
    <sheet name="Monthly Personal Income" sheetId="52" r:id="rId9"/>
    <sheet name="historical overrides" sheetId="50" r:id="rId10"/>
    <sheet name="mpc" sheetId="56" r:id="rId11"/>
    <sheet name="Provider Relief" sheetId="40" r:id="rId12"/>
    <sheet name="PPP" sheetId="38" r:id="rId13"/>
    <sheet name="Grants" sheetId="26" r:id="rId14"/>
    <sheet name="Federal and State Purchases" sheetId="20" r:id="rId15"/>
    <sheet name="Subsidies" sheetId="30" r:id="rId16"/>
    <sheet name="Unemployment Insurance" sheetId="25" r:id="rId17"/>
    <sheet name="Medicaid" sheetId="49" r:id="rId18"/>
    <sheet name="Medicare" sheetId="33" r:id="rId19"/>
    <sheet name="Rebate Checks" sheetId="29" r:id="rId20"/>
    <sheet name="Social Benefits" sheetId="32" r:id="rId21"/>
    <sheet name="Taxes" sheetId="48" r:id="rId22"/>
    <sheet name="Haver Pivoted" sheetId="24" r:id="rId23"/>
    <sheet name="Cares Act Scores" sheetId="36" r:id="rId24"/>
    <sheet name="Response and Relief Act Score" sheetId="27" r:id="rId25"/>
    <sheet name="ARP Score" sheetId="5" r:id="rId26"/>
    <sheet name="ARP Timing" sheetId="6" r:id="rId27"/>
    <sheet name="ARP Quarterly" sheetId="21" r:id="rId28"/>
    <sheet name="Deflators" sheetId="34" r:id="rId2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0" i="48" l="1"/>
  <c r="F9" i="48" s="1"/>
  <c r="G10" i="48"/>
  <c r="G9" i="48" s="1"/>
  <c r="F11" i="48"/>
  <c r="G11" i="48"/>
  <c r="F12" i="48"/>
  <c r="G12" i="48"/>
  <c r="F13" i="48"/>
  <c r="G13" i="48"/>
  <c r="F20" i="48"/>
  <c r="F99" i="48" s="1"/>
  <c r="G20" i="48"/>
  <c r="G99" i="48" s="1"/>
  <c r="F19" i="48"/>
  <c r="F98" i="48" s="1"/>
  <c r="G19" i="48"/>
  <c r="G98" i="48" s="1"/>
  <c r="F18" i="48"/>
  <c r="F97" i="48" s="1"/>
  <c r="G18" i="48"/>
  <c r="G97" i="48" s="1"/>
  <c r="F17" i="48"/>
  <c r="F96" i="48" s="1"/>
  <c r="G17" i="48"/>
  <c r="G96" i="48" s="1"/>
  <c r="G87" i="48"/>
  <c r="H87" i="48"/>
  <c r="I87" i="48"/>
  <c r="J87" i="48"/>
  <c r="K87" i="48"/>
  <c r="L87" i="48"/>
  <c r="M87" i="48"/>
  <c r="N87" i="48"/>
  <c r="F87" i="48"/>
  <c r="G71" i="48"/>
  <c r="H71" i="48"/>
  <c r="I71" i="48"/>
  <c r="J71" i="48"/>
  <c r="K71" i="48"/>
  <c r="L71" i="48"/>
  <c r="M71" i="48"/>
  <c r="N71" i="48"/>
  <c r="O71" i="48"/>
  <c r="P71" i="48"/>
  <c r="Q71" i="48"/>
  <c r="R71" i="48"/>
  <c r="S71" i="48"/>
  <c r="T71" i="48"/>
  <c r="U71" i="48"/>
  <c r="V71" i="48"/>
  <c r="W71" i="48"/>
  <c r="X71" i="48"/>
  <c r="Y71" i="48"/>
  <c r="Z71" i="48"/>
  <c r="AA71" i="48"/>
  <c r="AB71" i="48"/>
  <c r="AC71" i="48"/>
  <c r="F71" i="48"/>
  <c r="F44" i="30"/>
  <c r="N34" i="30"/>
  <c r="O34" i="30"/>
  <c r="P34" i="30"/>
  <c r="P17" i="30" s="1"/>
  <c r="Q34" i="30"/>
  <c r="Q17" i="30" s="1"/>
  <c r="R34" i="30"/>
  <c r="R17" i="30" s="1"/>
  <c r="S34" i="30"/>
  <c r="S17" i="30" s="1"/>
  <c r="T34" i="30"/>
  <c r="T17" i="30" s="1"/>
  <c r="U34" i="30"/>
  <c r="U17" i="30" s="1"/>
  <c r="V34" i="30"/>
  <c r="V17" i="30" s="1"/>
  <c r="W34" i="30"/>
  <c r="W17" i="30" s="1"/>
  <c r="X34" i="30"/>
  <c r="X17" i="30" s="1"/>
  <c r="Y34" i="30"/>
  <c r="Y17" i="30" s="1"/>
  <c r="Z34" i="30"/>
  <c r="Z17" i="30" s="1"/>
  <c r="AA34" i="30"/>
  <c r="AA17" i="30" s="1"/>
  <c r="AB34" i="30"/>
  <c r="AB17" i="30" s="1"/>
  <c r="AC34" i="30"/>
  <c r="AC17" i="30" s="1"/>
  <c r="N35" i="30"/>
  <c r="O35" i="30"/>
  <c r="O20" i="30" s="1"/>
  <c r="P35" i="30"/>
  <c r="P20" i="30" s="1"/>
  <c r="Q35" i="30"/>
  <c r="Q20" i="30" s="1"/>
  <c r="R35" i="30"/>
  <c r="R20" i="30" s="1"/>
  <c r="S35" i="30"/>
  <c r="S20" i="30" s="1"/>
  <c r="T35" i="30"/>
  <c r="T20" i="30" s="1"/>
  <c r="U35" i="30"/>
  <c r="U20" i="30" s="1"/>
  <c r="V35" i="30"/>
  <c r="V20" i="30" s="1"/>
  <c r="W35" i="30"/>
  <c r="W20" i="30" s="1"/>
  <c r="X35" i="30"/>
  <c r="X20" i="30" s="1"/>
  <c r="Y35" i="30"/>
  <c r="Y20" i="30" s="1"/>
  <c r="Z35" i="30"/>
  <c r="Z20" i="30" s="1"/>
  <c r="AA35" i="30"/>
  <c r="AA20" i="30" s="1"/>
  <c r="AB35" i="30"/>
  <c r="AB20" i="30" s="1"/>
  <c r="AC35" i="30"/>
  <c r="AC20" i="30" s="1"/>
  <c r="N36" i="30"/>
  <c r="O36" i="30"/>
  <c r="O21" i="30" s="1"/>
  <c r="P36" i="30"/>
  <c r="P21" i="30" s="1"/>
  <c r="Q36" i="30"/>
  <c r="Q21" i="30" s="1"/>
  <c r="R36" i="30"/>
  <c r="R21" i="30" s="1"/>
  <c r="S36" i="30"/>
  <c r="S21" i="30" s="1"/>
  <c r="T36" i="30"/>
  <c r="T21" i="30" s="1"/>
  <c r="U36" i="30"/>
  <c r="U21" i="30" s="1"/>
  <c r="V36" i="30"/>
  <c r="V21" i="30" s="1"/>
  <c r="W36" i="30"/>
  <c r="W21" i="30" s="1"/>
  <c r="X36" i="30"/>
  <c r="X21" i="30" s="1"/>
  <c r="Y36" i="30"/>
  <c r="Y21" i="30" s="1"/>
  <c r="Z36" i="30"/>
  <c r="Z21" i="30" s="1"/>
  <c r="AA36" i="30"/>
  <c r="AA21" i="30" s="1"/>
  <c r="AB36" i="30"/>
  <c r="AB21" i="30" s="1"/>
  <c r="AC36" i="30"/>
  <c r="AC21" i="30" s="1"/>
  <c r="N37" i="30"/>
  <c r="O37" i="30"/>
  <c r="O22" i="30" s="1"/>
  <c r="P37" i="30"/>
  <c r="P22" i="30" s="1"/>
  <c r="Q37" i="30"/>
  <c r="Q22" i="30" s="1"/>
  <c r="R37" i="30"/>
  <c r="R22" i="30" s="1"/>
  <c r="S37" i="30"/>
  <c r="S22" i="30" s="1"/>
  <c r="T37" i="30"/>
  <c r="T22" i="30" s="1"/>
  <c r="U37" i="30"/>
  <c r="U22" i="30" s="1"/>
  <c r="V37" i="30"/>
  <c r="V22" i="30" s="1"/>
  <c r="W37" i="30"/>
  <c r="W22" i="30" s="1"/>
  <c r="X37" i="30"/>
  <c r="X22" i="30" s="1"/>
  <c r="Y37" i="30"/>
  <c r="Y22" i="30" s="1"/>
  <c r="Z37" i="30"/>
  <c r="Z22" i="30" s="1"/>
  <c r="AA37" i="30"/>
  <c r="AA22" i="30" s="1"/>
  <c r="AB37" i="30"/>
  <c r="AB22" i="30" s="1"/>
  <c r="AC37" i="30"/>
  <c r="AC22" i="30" s="1"/>
  <c r="N38" i="30"/>
  <c r="O38" i="30"/>
  <c r="P38" i="30"/>
  <c r="P23" i="30" s="1"/>
  <c r="Q38" i="30"/>
  <c r="Q23" i="30" s="1"/>
  <c r="R38" i="30"/>
  <c r="R23" i="30" s="1"/>
  <c r="S38" i="30"/>
  <c r="S23" i="30" s="1"/>
  <c r="T38" i="30"/>
  <c r="T23" i="30" s="1"/>
  <c r="U38" i="30"/>
  <c r="U23" i="30" s="1"/>
  <c r="V38" i="30"/>
  <c r="V23" i="30" s="1"/>
  <c r="W38" i="30"/>
  <c r="W23" i="30" s="1"/>
  <c r="X38" i="30"/>
  <c r="X23" i="30" s="1"/>
  <c r="Y38" i="30"/>
  <c r="Y23" i="30" s="1"/>
  <c r="Z38" i="30"/>
  <c r="Z23" i="30" s="1"/>
  <c r="AA38" i="30"/>
  <c r="AA23" i="30" s="1"/>
  <c r="AB38" i="30"/>
  <c r="AB23" i="30" s="1"/>
  <c r="AC38" i="30"/>
  <c r="AC23" i="30" s="1"/>
  <c r="N39" i="30"/>
  <c r="O39" i="30"/>
  <c r="P39" i="30"/>
  <c r="Q39" i="30"/>
  <c r="R39" i="30"/>
  <c r="S39" i="30"/>
  <c r="T39" i="30"/>
  <c r="U39" i="30"/>
  <c r="V39" i="30"/>
  <c r="W39" i="30"/>
  <c r="X39" i="30"/>
  <c r="Y39" i="30"/>
  <c r="Z39" i="30"/>
  <c r="AA39" i="30"/>
  <c r="AB39" i="30"/>
  <c r="AC39" i="30"/>
  <c r="N40" i="30"/>
  <c r="O40" i="30"/>
  <c r="P40" i="30"/>
  <c r="Q40" i="30"/>
  <c r="R40" i="30"/>
  <c r="S40" i="30"/>
  <c r="T40" i="30"/>
  <c r="U40" i="30"/>
  <c r="V40" i="30"/>
  <c r="W40" i="30"/>
  <c r="X40" i="30"/>
  <c r="Y40" i="30"/>
  <c r="Z40" i="30"/>
  <c r="AA40" i="30"/>
  <c r="AB40" i="30"/>
  <c r="AC40" i="30"/>
  <c r="N41" i="30"/>
  <c r="O41" i="30"/>
  <c r="P41" i="30"/>
  <c r="Q41" i="30"/>
  <c r="R41" i="30"/>
  <c r="S41" i="30"/>
  <c r="T41" i="30"/>
  <c r="U41" i="30"/>
  <c r="V41" i="30"/>
  <c r="W41" i="30"/>
  <c r="X41" i="30"/>
  <c r="Y41" i="30"/>
  <c r="Z41" i="30"/>
  <c r="AA41" i="30"/>
  <c r="AB41" i="30"/>
  <c r="AC41" i="30"/>
  <c r="M35" i="30"/>
  <c r="M36" i="30"/>
  <c r="M37" i="30"/>
  <c r="M38" i="30"/>
  <c r="M39" i="30"/>
  <c r="M40" i="30"/>
  <c r="M41" i="30"/>
  <c r="M34" i="30"/>
  <c r="G16" i="48" l="1"/>
  <c r="F16" i="48"/>
  <c r="U24" i="30"/>
  <c r="AA24" i="30"/>
  <c r="S24" i="30"/>
  <c r="W24" i="30"/>
  <c r="O24" i="30"/>
  <c r="AC24" i="30"/>
  <c r="Y24" i="30"/>
  <c r="Z24" i="30"/>
  <c r="Q24" i="30"/>
  <c r="X24" i="30"/>
  <c r="P24" i="30"/>
  <c r="V24" i="30"/>
  <c r="R24" i="30"/>
  <c r="AB24" i="30"/>
  <c r="T24" i="30"/>
  <c r="P90" i="55"/>
  <c r="Q90" i="55"/>
  <c r="R90" i="55"/>
  <c r="P91" i="55"/>
  <c r="Q91" i="55"/>
  <c r="R91" i="55"/>
  <c r="P92" i="55"/>
  <c r="Q92" i="55"/>
  <c r="R92" i="55"/>
  <c r="P93" i="55"/>
  <c r="Q93" i="55"/>
  <c r="R93" i="55"/>
  <c r="O65" i="55"/>
  <c r="P65" i="55"/>
  <c r="Q65" i="55"/>
  <c r="R65" i="55"/>
  <c r="O66" i="55"/>
  <c r="P66" i="55"/>
  <c r="Q66" i="55"/>
  <c r="R66" i="55"/>
  <c r="O67" i="55"/>
  <c r="P67" i="55"/>
  <c r="Q67" i="55"/>
  <c r="R67" i="55"/>
  <c r="O68" i="55"/>
  <c r="P68" i="55"/>
  <c r="Q68" i="55"/>
  <c r="R68" i="55"/>
  <c r="P15" i="55"/>
  <c r="Q15" i="55"/>
  <c r="R15" i="55"/>
  <c r="P16" i="55"/>
  <c r="Q16" i="55"/>
  <c r="R16" i="55"/>
  <c r="P17" i="55"/>
  <c r="Q17" i="55"/>
  <c r="R17" i="55"/>
  <c r="P18" i="55"/>
  <c r="Q18" i="55"/>
  <c r="R18" i="55"/>
  <c r="O90" i="55"/>
  <c r="O91" i="55"/>
  <c r="O92" i="55"/>
  <c r="O93" i="55"/>
  <c r="O14" i="56" l="1"/>
  <c r="O13" i="56"/>
  <c r="O12" i="56"/>
  <c r="O11" i="56"/>
  <c r="O10" i="56"/>
  <c r="N9" i="56"/>
  <c r="M9" i="56"/>
  <c r="L9" i="56"/>
  <c r="K9" i="56"/>
  <c r="J9" i="56"/>
  <c r="I9" i="56"/>
  <c r="H9" i="56"/>
  <c r="G9" i="56"/>
  <c r="F9" i="56"/>
  <c r="E9" i="56"/>
  <c r="D9" i="56"/>
  <c r="C9" i="56"/>
  <c r="F8" i="56"/>
  <c r="E8" i="56"/>
  <c r="D8" i="56"/>
  <c r="C8" i="56"/>
  <c r="O8" i="56" s="1"/>
  <c r="H7" i="56"/>
  <c r="G7" i="56"/>
  <c r="F7" i="56"/>
  <c r="E7" i="56"/>
  <c r="D7" i="56"/>
  <c r="C7" i="56"/>
  <c r="K6" i="56"/>
  <c r="J6" i="56"/>
  <c r="I6" i="56"/>
  <c r="H6" i="56"/>
  <c r="G6" i="56"/>
  <c r="F6" i="56"/>
  <c r="E6" i="56"/>
  <c r="D6" i="56"/>
  <c r="C6" i="56"/>
  <c r="J5" i="56"/>
  <c r="I5" i="56"/>
  <c r="H5" i="56"/>
  <c r="G5" i="56"/>
  <c r="F5" i="56"/>
  <c r="E5" i="56"/>
  <c r="D5" i="56"/>
  <c r="C5" i="56"/>
  <c r="N4" i="56"/>
  <c r="M4" i="56"/>
  <c r="L4" i="56"/>
  <c r="K4" i="56"/>
  <c r="J4" i="56"/>
  <c r="I4" i="56"/>
  <c r="H4" i="56"/>
  <c r="G4" i="56"/>
  <c r="F4" i="56"/>
  <c r="E4" i="56"/>
  <c r="D4" i="56"/>
  <c r="C4" i="56"/>
  <c r="F3" i="56"/>
  <c r="E3" i="56"/>
  <c r="D3" i="56"/>
  <c r="C3" i="56"/>
  <c r="D2" i="56"/>
  <c r="E2" i="56" s="1"/>
  <c r="F2" i="56" s="1"/>
  <c r="G2" i="56" s="1"/>
  <c r="H2" i="56" s="1"/>
  <c r="I2" i="56" s="1"/>
  <c r="J2" i="56" s="1"/>
  <c r="K2" i="56" s="1"/>
  <c r="L2" i="56" s="1"/>
  <c r="M2" i="56" s="1"/>
  <c r="N2" i="56" s="1"/>
  <c r="P25" i="30"/>
  <c r="Q25" i="30"/>
  <c r="R25" i="30"/>
  <c r="S25" i="30"/>
  <c r="T25" i="30"/>
  <c r="U25" i="30"/>
  <c r="V25" i="30"/>
  <c r="W25" i="30"/>
  <c r="X25" i="30"/>
  <c r="Y25" i="30"/>
  <c r="Z25" i="30"/>
  <c r="AA25" i="30"/>
  <c r="AB25" i="30"/>
  <c r="AC25" i="30"/>
  <c r="O31" i="30"/>
  <c r="O23" i="30" s="1"/>
  <c r="D9" i="6"/>
  <c r="C9" i="6"/>
  <c r="K21" i="21"/>
  <c r="K22" i="21" s="1"/>
  <c r="L21" i="21"/>
  <c r="L22" i="21" s="1"/>
  <c r="M21" i="21"/>
  <c r="M22" i="21" s="1"/>
  <c r="J21" i="21"/>
  <c r="J22" i="21" s="1"/>
  <c r="G21" i="21"/>
  <c r="G22" i="21" s="1"/>
  <c r="H21" i="21"/>
  <c r="H22" i="21" s="1"/>
  <c r="I21" i="21"/>
  <c r="I22" i="21" s="1"/>
  <c r="F22" i="21"/>
  <c r="F21" i="21"/>
  <c r="G5" i="5"/>
  <c r="G6" i="5"/>
  <c r="G7" i="5"/>
  <c r="G8" i="5"/>
  <c r="G9" i="5"/>
  <c r="G10" i="5"/>
  <c r="G11" i="5"/>
  <c r="G12" i="5"/>
  <c r="G13" i="5"/>
  <c r="G14" i="5"/>
  <c r="G15" i="5"/>
  <c r="G16" i="5"/>
  <c r="J53" i="21"/>
  <c r="K53" i="21"/>
  <c r="L53" i="21"/>
  <c r="M53" i="21"/>
  <c r="N53" i="21"/>
  <c r="O53" i="21"/>
  <c r="P53" i="21"/>
  <c r="Q53" i="21"/>
  <c r="R53" i="21"/>
  <c r="S53" i="21"/>
  <c r="T53" i="21"/>
  <c r="U53" i="21"/>
  <c r="V53" i="21"/>
  <c r="I53" i="21"/>
  <c r="H51" i="21"/>
  <c r="I51" i="21"/>
  <c r="J51" i="21"/>
  <c r="K51" i="21"/>
  <c r="L51" i="21"/>
  <c r="M51" i="21"/>
  <c r="N51" i="21"/>
  <c r="O51" i="21"/>
  <c r="P51" i="21"/>
  <c r="Q51" i="21"/>
  <c r="R51" i="21"/>
  <c r="S51" i="21"/>
  <c r="T51" i="21"/>
  <c r="U51" i="21"/>
  <c r="V51" i="21"/>
  <c r="G51" i="21"/>
  <c r="G50" i="21"/>
  <c r="H50" i="21"/>
  <c r="I50" i="21"/>
  <c r="J50" i="21"/>
  <c r="K50" i="21"/>
  <c r="L50" i="21"/>
  <c r="M50" i="21"/>
  <c r="N50" i="21"/>
  <c r="O50" i="21"/>
  <c r="P50" i="21"/>
  <c r="Q50" i="21"/>
  <c r="R50" i="21"/>
  <c r="S50" i="21"/>
  <c r="T50" i="21"/>
  <c r="U50" i="21"/>
  <c r="V50" i="21"/>
  <c r="E49" i="21"/>
  <c r="F50" i="21"/>
  <c r="F49" i="21"/>
  <c r="G49" i="21"/>
  <c r="H49" i="21"/>
  <c r="I49" i="21"/>
  <c r="J49" i="21"/>
  <c r="K49" i="21"/>
  <c r="L49" i="21"/>
  <c r="M49" i="21"/>
  <c r="N49" i="21"/>
  <c r="O49" i="21"/>
  <c r="P49" i="21"/>
  <c r="Q49" i="21"/>
  <c r="R49" i="21"/>
  <c r="S49" i="21"/>
  <c r="T49" i="21"/>
  <c r="U49" i="21"/>
  <c r="V49" i="21"/>
  <c r="Q17" i="6"/>
  <c r="R17" i="6"/>
  <c r="S17" i="6"/>
  <c r="T17" i="6"/>
  <c r="V17" i="6"/>
  <c r="V16" i="6"/>
  <c r="O5" i="56" l="1"/>
  <c r="O6" i="56"/>
  <c r="O4" i="56"/>
  <c r="O9" i="56"/>
  <c r="O7" i="56"/>
  <c r="AV54" i="20"/>
  <c r="AW54" i="20"/>
  <c r="AX54" i="20"/>
  <c r="AY54" i="20"/>
  <c r="AZ54" i="20"/>
  <c r="BA54" i="20"/>
  <c r="BB54" i="20"/>
  <c r="AU54" i="20"/>
  <c r="AP54" i="20"/>
  <c r="AQ54" i="20"/>
  <c r="AR54" i="20"/>
  <c r="AS54" i="20"/>
  <c r="AT54" i="20"/>
  <c r="AO54" i="20"/>
  <c r="F58" i="48"/>
  <c r="G58" i="48"/>
  <c r="H58" i="48"/>
  <c r="I58" i="48"/>
  <c r="J58" i="48"/>
  <c r="K58" i="48"/>
  <c r="L58" i="48"/>
  <c r="E58" i="48"/>
  <c r="E56" i="48"/>
  <c r="F56" i="48"/>
  <c r="G56" i="48"/>
  <c r="H56" i="48"/>
  <c r="I56" i="48"/>
  <c r="J56" i="48"/>
  <c r="K56" i="48"/>
  <c r="L56" i="48"/>
  <c r="F55" i="48"/>
  <c r="G55" i="48"/>
  <c r="H55" i="48"/>
  <c r="I55" i="48"/>
  <c r="J55" i="48"/>
  <c r="K55" i="48"/>
  <c r="L55" i="48"/>
  <c r="E55" i="48"/>
  <c r="F26" i="48"/>
  <c r="F57" i="48" s="1"/>
  <c r="G26" i="48"/>
  <c r="G57" i="48" s="1"/>
  <c r="E26" i="48"/>
  <c r="E57" i="48" s="1"/>
  <c r="L26" i="48" l="1"/>
  <c r="L57" i="48" s="1"/>
  <c r="K26" i="48"/>
  <c r="K57" i="48" s="1"/>
  <c r="J26" i="48"/>
  <c r="J57" i="48" s="1"/>
  <c r="I26" i="48"/>
  <c r="I57" i="48" s="1"/>
  <c r="H26" i="48"/>
  <c r="H57" i="48" s="1"/>
  <c r="D27" i="25" l="1"/>
  <c r="K19" i="26"/>
  <c r="L19" i="26"/>
  <c r="M19" i="26"/>
  <c r="N19" i="26"/>
  <c r="J12" i="26"/>
  <c r="C13" i="35" l="1"/>
  <c r="C14" i="35"/>
  <c r="Z15" i="32" l="1"/>
  <c r="AA15" i="32"/>
  <c r="AB15" i="32"/>
  <c r="AC15" i="32"/>
  <c r="Z16" i="32"/>
  <c r="AA16" i="32"/>
  <c r="AB16" i="32"/>
  <c r="AC16" i="32"/>
  <c r="AC78" i="26"/>
  <c r="Z77" i="26"/>
  <c r="AA77" i="26"/>
  <c r="AB77" i="26"/>
  <c r="AC77" i="26"/>
  <c r="Z28" i="26"/>
  <c r="AA28" i="26"/>
  <c r="AB28" i="26"/>
  <c r="AC28" i="26"/>
  <c r="Z19" i="26"/>
  <c r="AA19" i="26"/>
  <c r="AB19" i="26"/>
  <c r="AC19" i="26"/>
  <c r="Z16" i="26"/>
  <c r="Z78" i="26" s="1"/>
  <c r="AA16" i="26"/>
  <c r="AA78" i="26" s="1"/>
  <c r="AB16" i="26"/>
  <c r="AB78" i="26" s="1"/>
  <c r="AC16" i="26"/>
  <c r="Z15" i="26"/>
  <c r="AA15" i="26"/>
  <c r="AB15" i="26"/>
  <c r="AC15" i="26"/>
  <c r="Z14" i="26"/>
  <c r="Z76" i="26" s="1"/>
  <c r="AA14" i="26"/>
  <c r="AA76" i="26" s="1"/>
  <c r="AB14" i="26"/>
  <c r="AB76" i="26" s="1"/>
  <c r="AC14" i="26"/>
  <c r="AC76" i="26" s="1"/>
  <c r="O13" i="35"/>
  <c r="P13" i="35"/>
  <c r="Q13" i="35"/>
  <c r="O14" i="35"/>
  <c r="P14" i="35"/>
  <c r="Q14" i="35"/>
  <c r="X18" i="30"/>
  <c r="Y18" i="30"/>
  <c r="Z18" i="30"/>
  <c r="AA18" i="30"/>
  <c r="AB18" i="30"/>
  <c r="AC18" i="30"/>
  <c r="B4" i="55" l="1"/>
  <c r="C4" i="55"/>
  <c r="B5" i="55"/>
  <c r="C5" i="55"/>
  <c r="B6" i="55"/>
  <c r="C6" i="55"/>
  <c r="B7" i="55"/>
  <c r="C7" i="55"/>
  <c r="B8" i="55"/>
  <c r="C8" i="55"/>
  <c r="B9" i="55"/>
  <c r="C9" i="55"/>
  <c r="B10" i="55"/>
  <c r="C10" i="55"/>
  <c r="B11" i="55"/>
  <c r="C11" i="55"/>
  <c r="B12" i="55"/>
  <c r="C12" i="55"/>
  <c r="B13" i="55"/>
  <c r="C13" i="55"/>
  <c r="B14" i="55"/>
  <c r="C14" i="55"/>
  <c r="B15" i="55"/>
  <c r="C15" i="55"/>
  <c r="B16" i="55"/>
  <c r="C16" i="55"/>
  <c r="B17" i="55"/>
  <c r="C17" i="55"/>
  <c r="B18" i="55"/>
  <c r="C18" i="55"/>
  <c r="B19" i="55"/>
  <c r="C19" i="55"/>
  <c r="B20" i="55"/>
  <c r="C20" i="55"/>
  <c r="B21" i="55"/>
  <c r="C21" i="55"/>
  <c r="B22" i="55"/>
  <c r="C22" i="55"/>
  <c r="B23" i="55"/>
  <c r="C23" i="55"/>
  <c r="B24" i="55"/>
  <c r="C24" i="55"/>
  <c r="C3" i="55"/>
  <c r="D3" i="55"/>
  <c r="E3" i="55"/>
  <c r="F3" i="55"/>
  <c r="G3" i="55"/>
  <c r="H3" i="55"/>
  <c r="I3" i="55"/>
  <c r="J3" i="55"/>
  <c r="K3" i="55"/>
  <c r="L3" i="55"/>
  <c r="M3" i="55"/>
  <c r="N3" i="55"/>
  <c r="O3" i="55"/>
  <c r="B3" i="55"/>
  <c r="N14" i="35"/>
  <c r="O16" i="55" s="1"/>
  <c r="N13" i="35"/>
  <c r="O15" i="55" s="1"/>
  <c r="N93" i="26"/>
  <c r="N14" i="26" l="1"/>
  <c r="N13" i="26"/>
  <c r="N81" i="26" s="1"/>
  <c r="N10" i="26"/>
  <c r="N9" i="26"/>
  <c r="N28" i="32"/>
  <c r="N12" i="32"/>
  <c r="N53" i="32"/>
  <c r="N63" i="32"/>
  <c r="N20" i="48"/>
  <c r="N19" i="48"/>
  <c r="N98" i="48" s="1"/>
  <c r="N18" i="48"/>
  <c r="N97" i="48" s="1"/>
  <c r="N17" i="48"/>
  <c r="N96" i="48" s="1"/>
  <c r="O96" i="48" s="1"/>
  <c r="N13" i="48"/>
  <c r="N12" i="48"/>
  <c r="N11" i="48"/>
  <c r="N10" i="48"/>
  <c r="N13" i="40"/>
  <c r="L13" i="40"/>
  <c r="M13" i="40"/>
  <c r="K13" i="40"/>
  <c r="N12" i="40"/>
  <c r="N11" i="40"/>
  <c r="N11" i="33"/>
  <c r="N9" i="29"/>
  <c r="N10" i="29" s="1"/>
  <c r="N10" i="49"/>
  <c r="N9" i="49"/>
  <c r="J25" i="49" s="1"/>
  <c r="N29" i="32" s="1"/>
  <c r="N18" i="25"/>
  <c r="N17" i="25"/>
  <c r="N16" i="25"/>
  <c r="N15" i="25"/>
  <c r="N14" i="25"/>
  <c r="N12" i="25"/>
  <c r="N11" i="25"/>
  <c r="N21" i="30"/>
  <c r="N20" i="30"/>
  <c r="N19" i="30"/>
  <c r="N18" i="30"/>
  <c r="N17" i="30"/>
  <c r="N16" i="30"/>
  <c r="N14" i="30"/>
  <c r="N11" i="30"/>
  <c r="N54" i="38"/>
  <c r="N53" i="38"/>
  <c r="N25" i="20"/>
  <c r="N27" i="20" s="1"/>
  <c r="N9" i="20"/>
  <c r="N13" i="20" s="1"/>
  <c r="E4" i="46"/>
  <c r="E5" i="46"/>
  <c r="E6" i="46"/>
  <c r="E7" i="46"/>
  <c r="E8" i="46"/>
  <c r="E9" i="46"/>
  <c r="E10" i="46"/>
  <c r="E11" i="46"/>
  <c r="E12" i="46"/>
  <c r="E13" i="46"/>
  <c r="E14" i="46"/>
  <c r="E15" i="46"/>
  <c r="E16" i="46"/>
  <c r="E17" i="46"/>
  <c r="E18" i="46"/>
  <c r="E19" i="46"/>
  <c r="E20" i="46"/>
  <c r="E21" i="46"/>
  <c r="E22" i="46"/>
  <c r="E23" i="46"/>
  <c r="E24" i="46"/>
  <c r="E25" i="46"/>
  <c r="E26" i="46"/>
  <c r="E27" i="46"/>
  <c r="E28" i="46"/>
  <c r="F28" i="46" s="1"/>
  <c r="E29" i="46"/>
  <c r="F29" i="46" s="1"/>
  <c r="E30" i="46"/>
  <c r="F30" i="46" s="1"/>
  <c r="E31" i="46"/>
  <c r="F31" i="46" s="1"/>
  <c r="E32" i="46"/>
  <c r="E33" i="46"/>
  <c r="E34" i="46"/>
  <c r="E35" i="46"/>
  <c r="E36" i="46"/>
  <c r="E37" i="46"/>
  <c r="E38" i="46"/>
  <c r="E39" i="46"/>
  <c r="E40" i="46"/>
  <c r="E41" i="46"/>
  <c r="E42" i="46"/>
  <c r="E43" i="46"/>
  <c r="E44" i="46"/>
  <c r="E45" i="46"/>
  <c r="E46" i="46"/>
  <c r="E47" i="46"/>
  <c r="E48" i="46"/>
  <c r="E49" i="46"/>
  <c r="E50" i="46"/>
  <c r="E51" i="46"/>
  <c r="E52" i="46"/>
  <c r="E53" i="46"/>
  <c r="E54" i="46"/>
  <c r="E55" i="46"/>
  <c r="E56" i="46"/>
  <c r="E57" i="46"/>
  <c r="E58" i="46"/>
  <c r="E59" i="46"/>
  <c r="E60" i="46"/>
  <c r="E61" i="46"/>
  <c r="E62" i="46"/>
  <c r="E63" i="46"/>
  <c r="E64" i="46"/>
  <c r="E65" i="46"/>
  <c r="E66" i="46"/>
  <c r="E67" i="46"/>
  <c r="E68" i="46"/>
  <c r="E69" i="46"/>
  <c r="E70" i="46"/>
  <c r="E71" i="46"/>
  <c r="E72" i="46"/>
  <c r="E73" i="46"/>
  <c r="E74" i="46"/>
  <c r="E75" i="46"/>
  <c r="E76" i="46"/>
  <c r="E77" i="46"/>
  <c r="E78" i="46"/>
  <c r="E79" i="46"/>
  <c r="E80" i="46"/>
  <c r="E81" i="46"/>
  <c r="E3" i="46"/>
  <c r="N10" i="33" l="1"/>
  <c r="N12" i="33"/>
  <c r="O12" i="33" s="1"/>
  <c r="P96" i="48"/>
  <c r="O17" i="48"/>
  <c r="O10" i="48"/>
  <c r="J48" i="52" s="1"/>
  <c r="N82" i="48"/>
  <c r="H63" i="48" s="1"/>
  <c r="I63" i="48" s="1"/>
  <c r="O11" i="48"/>
  <c r="N83" i="48"/>
  <c r="H64" i="48" s="1"/>
  <c r="I64" i="48" s="1"/>
  <c r="O12" i="48"/>
  <c r="P12" i="48" s="1"/>
  <c r="N84" i="48"/>
  <c r="H65" i="48" s="1"/>
  <c r="O13" i="48"/>
  <c r="P13" i="48" s="1"/>
  <c r="N15" i="30"/>
  <c r="N13" i="30"/>
  <c r="N12" i="30" s="1"/>
  <c r="N11" i="49"/>
  <c r="N11" i="26"/>
  <c r="N14" i="40"/>
  <c r="B21" i="53"/>
  <c r="B20" i="53"/>
  <c r="B19" i="53"/>
  <c r="B18" i="53"/>
  <c r="B17" i="53"/>
  <c r="B16" i="53"/>
  <c r="B15" i="53"/>
  <c r="B14" i="53"/>
  <c r="B13" i="53"/>
  <c r="B12" i="53"/>
  <c r="B11" i="53"/>
  <c r="B10" i="53"/>
  <c r="P12" i="33" l="1"/>
  <c r="O11" i="33"/>
  <c r="O10" i="33" s="1"/>
  <c r="J29" i="52" s="1"/>
  <c r="Q96" i="48"/>
  <c r="P17" i="48"/>
  <c r="P11" i="48"/>
  <c r="P10" i="48"/>
  <c r="J63" i="48"/>
  <c r="Q10" i="48"/>
  <c r="N15" i="40"/>
  <c r="N16" i="40"/>
  <c r="N17" i="40"/>
  <c r="I34" i="20"/>
  <c r="H9" i="20"/>
  <c r="I9" i="20"/>
  <c r="J9" i="20"/>
  <c r="K9" i="20"/>
  <c r="L9" i="20"/>
  <c r="M9" i="20"/>
  <c r="O9" i="20" s="1"/>
  <c r="P9" i="20" s="1"/>
  <c r="Q9" i="20" s="1"/>
  <c r="R9" i="20" s="1"/>
  <c r="S9" i="20" s="1"/>
  <c r="T9" i="20" s="1"/>
  <c r="U9" i="20" s="1"/>
  <c r="V9" i="20" s="1"/>
  <c r="W9" i="20" s="1"/>
  <c r="X9" i="20" s="1"/>
  <c r="Y9" i="20" s="1"/>
  <c r="K16" i="5"/>
  <c r="K6" i="5"/>
  <c r="K7" i="5"/>
  <c r="K8" i="5"/>
  <c r="K9" i="5"/>
  <c r="K10" i="5"/>
  <c r="K11" i="5"/>
  <c r="K12" i="5"/>
  <c r="K13" i="5"/>
  <c r="K14" i="5"/>
  <c r="K15" i="5"/>
  <c r="K5" i="5"/>
  <c r="AT16" i="5"/>
  <c r="Q12" i="33" l="1"/>
  <c r="P11" i="33"/>
  <c r="P10" i="33" s="1"/>
  <c r="R96" i="48"/>
  <c r="Q17" i="48"/>
  <c r="R10" i="48"/>
  <c r="K63" i="48"/>
  <c r="U10" i="48"/>
  <c r="Y13" i="20"/>
  <c r="Z9" i="20"/>
  <c r="X13" i="20"/>
  <c r="W13" i="20"/>
  <c r="V13" i="20"/>
  <c r="U13" i="20"/>
  <c r="P13" i="20"/>
  <c r="O13" i="20"/>
  <c r="C4" i="35" s="1"/>
  <c r="T13" i="20"/>
  <c r="S13" i="20"/>
  <c r="R13" i="20"/>
  <c r="Q13" i="20"/>
  <c r="I10" i="26"/>
  <c r="J10" i="26"/>
  <c r="K10" i="26"/>
  <c r="L10" i="26"/>
  <c r="M10" i="26"/>
  <c r="H10" i="26"/>
  <c r="R12" i="33" l="1"/>
  <c r="Q11" i="33"/>
  <c r="S96" i="48"/>
  <c r="R17" i="48"/>
  <c r="V10" i="48"/>
  <c r="S10" i="48"/>
  <c r="I32" i="48" s="1"/>
  <c r="I39" i="48" s="1"/>
  <c r="L63" i="48"/>
  <c r="AC10" i="48" s="1"/>
  <c r="Y10" i="48"/>
  <c r="AA9" i="20"/>
  <c r="Z13" i="20"/>
  <c r="B21" i="51"/>
  <c r="B20" i="51"/>
  <c r="B19" i="51"/>
  <c r="B18" i="51"/>
  <c r="B17" i="51"/>
  <c r="R11" i="33" l="1"/>
  <c r="S12" i="33"/>
  <c r="S17" i="48"/>
  <c r="T96" i="48"/>
  <c r="Z10" i="48"/>
  <c r="T10" i="48"/>
  <c r="W10" i="48"/>
  <c r="N4" i="35"/>
  <c r="O6" i="55" s="1"/>
  <c r="AB9" i="20"/>
  <c r="AA13" i="20"/>
  <c r="B16" i="51"/>
  <c r="B15" i="51"/>
  <c r="B14" i="51"/>
  <c r="B13" i="51"/>
  <c r="B12" i="51"/>
  <c r="B11" i="51"/>
  <c r="B10" i="51"/>
  <c r="O81" i="55" l="1"/>
  <c r="O56" i="55"/>
  <c r="T12" i="33"/>
  <c r="S11" i="33"/>
  <c r="U96" i="48"/>
  <c r="T17" i="48"/>
  <c r="J32" i="48"/>
  <c r="J39" i="48" s="1"/>
  <c r="X10" i="48"/>
  <c r="AA10" i="48"/>
  <c r="O4" i="35"/>
  <c r="P6" i="55" s="1"/>
  <c r="AC9" i="20"/>
  <c r="AC13" i="20" s="1"/>
  <c r="Q4" i="35" s="1"/>
  <c r="R6" i="55" s="1"/>
  <c r="AB13" i="20"/>
  <c r="P4" i="35" s="1"/>
  <c r="Q6" i="55" s="1"/>
  <c r="I93" i="26"/>
  <c r="J93" i="26"/>
  <c r="K93" i="26"/>
  <c r="L93" i="26"/>
  <c r="M93" i="26"/>
  <c r="H93" i="26"/>
  <c r="E10" i="49"/>
  <c r="F10" i="49"/>
  <c r="G10" i="49"/>
  <c r="H10" i="49"/>
  <c r="I10" i="49"/>
  <c r="J10" i="49"/>
  <c r="K10" i="49"/>
  <c r="L10" i="49"/>
  <c r="M10" i="49"/>
  <c r="D10" i="49"/>
  <c r="M6" i="5"/>
  <c r="M7" i="5"/>
  <c r="M8" i="5"/>
  <c r="M9" i="5"/>
  <c r="M10" i="5"/>
  <c r="M11" i="5"/>
  <c r="M12" i="5"/>
  <c r="M13" i="5"/>
  <c r="M14" i="5"/>
  <c r="M15" i="5"/>
  <c r="M5" i="5"/>
  <c r="AZ16" i="5"/>
  <c r="J24" i="33"/>
  <c r="I24" i="33"/>
  <c r="H24" i="33"/>
  <c r="G24" i="33"/>
  <c r="T15" i="33" s="1"/>
  <c r="F24" i="33"/>
  <c r="R15" i="33" s="1"/>
  <c r="E24" i="33"/>
  <c r="D24" i="33"/>
  <c r="H21" i="33"/>
  <c r="G21" i="33"/>
  <c r="F21" i="33"/>
  <c r="E21" i="33"/>
  <c r="D21" i="33"/>
  <c r="C21" i="33"/>
  <c r="Q81" i="55" l="1"/>
  <c r="Q56" i="55"/>
  <c r="R56" i="55"/>
  <c r="R81" i="55"/>
  <c r="T11" i="33"/>
  <c r="U12" i="33"/>
  <c r="P81" i="55"/>
  <c r="P56" i="55"/>
  <c r="U17" i="48"/>
  <c r="V96" i="48"/>
  <c r="V93" i="26"/>
  <c r="W93" i="26"/>
  <c r="P93" i="26"/>
  <c r="X93" i="26"/>
  <c r="Y93" i="26"/>
  <c r="Q93" i="26"/>
  <c r="R93" i="26"/>
  <c r="Z93" i="26"/>
  <c r="Z46" i="20" s="1"/>
  <c r="AA93" i="26"/>
  <c r="AB93" i="26"/>
  <c r="S93" i="26"/>
  <c r="T93" i="26"/>
  <c r="U93" i="26"/>
  <c r="AC93" i="26"/>
  <c r="O93" i="26"/>
  <c r="C3" i="35" s="1"/>
  <c r="R13" i="33"/>
  <c r="Q10" i="33"/>
  <c r="AB10" i="48"/>
  <c r="K32" i="48"/>
  <c r="K39" i="48" s="1"/>
  <c r="Y15" i="33"/>
  <c r="AA15" i="33"/>
  <c r="AB15" i="33"/>
  <c r="AC15" i="33"/>
  <c r="Z15" i="33"/>
  <c r="O15" i="33"/>
  <c r="N15" i="33"/>
  <c r="X15" i="33"/>
  <c r="P15" i="33"/>
  <c r="V15" i="33"/>
  <c r="U15" i="33"/>
  <c r="W15" i="33"/>
  <c r="Q15" i="33"/>
  <c r="S15" i="33"/>
  <c r="V12" i="33" l="1"/>
  <c r="U11" i="33"/>
  <c r="V17" i="48"/>
  <c r="W96" i="48"/>
  <c r="S13" i="33"/>
  <c r="R10" i="33"/>
  <c r="N3" i="35"/>
  <c r="O5" i="55" s="1"/>
  <c r="O3" i="35"/>
  <c r="P5" i="55" s="1"/>
  <c r="AA46" i="20"/>
  <c r="Q3" i="35"/>
  <c r="R5" i="55" s="1"/>
  <c r="AC46" i="20"/>
  <c r="P3" i="35"/>
  <c r="Q5" i="55" s="1"/>
  <c r="AB46" i="20"/>
  <c r="E53" i="32"/>
  <c r="F53" i="32"/>
  <c r="G53" i="32"/>
  <c r="H53" i="32"/>
  <c r="I53" i="32"/>
  <c r="J53" i="32"/>
  <c r="K53" i="32"/>
  <c r="L53" i="32"/>
  <c r="M53" i="32"/>
  <c r="D53" i="32"/>
  <c r="P80" i="55" l="1"/>
  <c r="P55" i="55"/>
  <c r="O80" i="55"/>
  <c r="O55" i="55"/>
  <c r="W12" i="33"/>
  <c r="V11" i="33"/>
  <c r="Q55" i="55"/>
  <c r="Q80" i="55"/>
  <c r="R80" i="55"/>
  <c r="R55" i="55"/>
  <c r="W17" i="48"/>
  <c r="X96" i="48"/>
  <c r="T13" i="33"/>
  <c r="S10" i="33"/>
  <c r="Y16" i="26"/>
  <c r="X12" i="33" l="1"/>
  <c r="W11" i="33"/>
  <c r="X17" i="48"/>
  <c r="Y96" i="48"/>
  <c r="U13" i="33"/>
  <c r="T10" i="33"/>
  <c r="T19" i="30"/>
  <c r="M12" i="40"/>
  <c r="K11" i="40"/>
  <c r="L11" i="40"/>
  <c r="M11" i="40"/>
  <c r="J11" i="40"/>
  <c r="J13" i="40"/>
  <c r="K12" i="40"/>
  <c r="L12" i="40"/>
  <c r="J12" i="40"/>
  <c r="Y16" i="32"/>
  <c r="X16" i="32"/>
  <c r="W16" i="32"/>
  <c r="V16" i="32"/>
  <c r="U16" i="32"/>
  <c r="T16" i="32"/>
  <c r="S16" i="32"/>
  <c r="R16" i="32"/>
  <c r="Q16" i="32"/>
  <c r="P16" i="32"/>
  <c r="O16" i="32"/>
  <c r="F63" i="32"/>
  <c r="G63" i="32"/>
  <c r="H63" i="32"/>
  <c r="N64" i="32" s="1"/>
  <c r="I63" i="32"/>
  <c r="J63" i="32"/>
  <c r="K63" i="32"/>
  <c r="L63" i="32"/>
  <c r="M63" i="32"/>
  <c r="E63" i="32"/>
  <c r="D63" i="32"/>
  <c r="E18" i="25"/>
  <c r="F18" i="25"/>
  <c r="G18" i="25"/>
  <c r="H18" i="25"/>
  <c r="I18" i="25"/>
  <c r="J18" i="25"/>
  <c r="K18" i="25"/>
  <c r="L18" i="25"/>
  <c r="M18" i="25"/>
  <c r="D18" i="25"/>
  <c r="E14" i="25"/>
  <c r="F14" i="25"/>
  <c r="G14" i="25"/>
  <c r="H14" i="25"/>
  <c r="I14" i="25"/>
  <c r="J14" i="25"/>
  <c r="K14" i="25"/>
  <c r="L14" i="25"/>
  <c r="M14" i="25"/>
  <c r="D14" i="25"/>
  <c r="D12" i="25"/>
  <c r="E12" i="25"/>
  <c r="F12" i="25"/>
  <c r="G12" i="25"/>
  <c r="H12" i="25"/>
  <c r="I12" i="25"/>
  <c r="J12" i="25"/>
  <c r="K12" i="25"/>
  <c r="L12" i="25"/>
  <c r="M12" i="25"/>
  <c r="F81" i="46"/>
  <c r="G81" i="46" s="1"/>
  <c r="F73" i="46"/>
  <c r="G73" i="46" s="1"/>
  <c r="F74" i="46"/>
  <c r="G74" i="46" s="1"/>
  <c r="F76" i="46"/>
  <c r="G76" i="46" s="1"/>
  <c r="F77" i="46"/>
  <c r="G77" i="46" s="1"/>
  <c r="F78" i="46"/>
  <c r="G78" i="46" s="1"/>
  <c r="F80" i="46"/>
  <c r="G80" i="46" s="1"/>
  <c r="F75" i="46"/>
  <c r="G75" i="46" s="1"/>
  <c r="F79" i="46"/>
  <c r="G79" i="46" s="1"/>
  <c r="C3" i="46"/>
  <c r="C4" i="46"/>
  <c r="C5" i="46"/>
  <c r="C6" i="46"/>
  <c r="C7" i="46"/>
  <c r="C8" i="46"/>
  <c r="C9" i="46"/>
  <c r="C10" i="46"/>
  <c r="C11" i="46"/>
  <c r="C12" i="46"/>
  <c r="C13" i="46"/>
  <c r="C14" i="46"/>
  <c r="C15" i="46"/>
  <c r="C16" i="46"/>
  <c r="C17" i="46"/>
  <c r="C18" i="46"/>
  <c r="C19" i="46"/>
  <c r="C20" i="46"/>
  <c r="C21" i="46"/>
  <c r="C22" i="46"/>
  <c r="C23" i="46"/>
  <c r="C24" i="46"/>
  <c r="C25" i="46"/>
  <c r="C26" i="46"/>
  <c r="C27" i="46"/>
  <c r="C32" i="46"/>
  <c r="C33" i="46"/>
  <c r="C34" i="46"/>
  <c r="C35" i="46"/>
  <c r="C36" i="46"/>
  <c r="C37" i="46"/>
  <c r="C38" i="46"/>
  <c r="C39" i="46"/>
  <c r="C40" i="46"/>
  <c r="C41" i="46"/>
  <c r="C42" i="46"/>
  <c r="C43" i="46"/>
  <c r="C44" i="46"/>
  <c r="C45" i="46"/>
  <c r="C46" i="46"/>
  <c r="C47" i="46"/>
  <c r="C48" i="46"/>
  <c r="C49" i="46"/>
  <c r="C50" i="46"/>
  <c r="C51" i="46"/>
  <c r="C52" i="46"/>
  <c r="C53" i="46"/>
  <c r="C54" i="46"/>
  <c r="C55" i="46"/>
  <c r="C56" i="46"/>
  <c r="C57" i="46"/>
  <c r="C58" i="46"/>
  <c r="C59" i="46"/>
  <c r="C60" i="46"/>
  <c r="C61" i="46"/>
  <c r="C62" i="46"/>
  <c r="C63" i="46"/>
  <c r="C64" i="46"/>
  <c r="C65" i="46"/>
  <c r="C66" i="46"/>
  <c r="C67" i="46"/>
  <c r="C68" i="46"/>
  <c r="C69" i="46"/>
  <c r="C70" i="46"/>
  <c r="C71" i="46"/>
  <c r="C72" i="46"/>
  <c r="C73" i="46"/>
  <c r="C74" i="46"/>
  <c r="C75" i="46"/>
  <c r="C76" i="46"/>
  <c r="C77" i="46"/>
  <c r="C78" i="46"/>
  <c r="C79" i="46"/>
  <c r="C80" i="46"/>
  <c r="C81" i="46"/>
  <c r="C2" i="46"/>
  <c r="L5" i="5"/>
  <c r="Y12" i="33" l="1"/>
  <c r="X11" i="33"/>
  <c r="Y17" i="48"/>
  <c r="Z96" i="48"/>
  <c r="V13" i="33"/>
  <c r="U10" i="33"/>
  <c r="N62" i="32"/>
  <c r="N16" i="32" s="1"/>
  <c r="K64" i="32"/>
  <c r="M64" i="32"/>
  <c r="L64" i="32"/>
  <c r="M62" i="32"/>
  <c r="M16" i="32" s="1"/>
  <c r="J62" i="32"/>
  <c r="J16" i="32" s="1"/>
  <c r="I62" i="32"/>
  <c r="I16" i="32" s="1"/>
  <c r="K62" i="32"/>
  <c r="K16" i="32" s="1"/>
  <c r="L62" i="32"/>
  <c r="L16" i="32" s="1"/>
  <c r="J64" i="32"/>
  <c r="Y11" i="33" l="1"/>
  <c r="Z12" i="33"/>
  <c r="Z17" i="48"/>
  <c r="AA96" i="48"/>
  <c r="W13" i="33"/>
  <c r="V10" i="33"/>
  <c r="E9" i="49"/>
  <c r="F9" i="49"/>
  <c r="G9" i="49"/>
  <c r="H9" i="49"/>
  <c r="D25" i="49" s="1"/>
  <c r="H29" i="32" s="1"/>
  <c r="I9" i="49"/>
  <c r="E25" i="49" s="1"/>
  <c r="I29" i="32" s="1"/>
  <c r="J9" i="49"/>
  <c r="F25" i="49" s="1"/>
  <c r="J29" i="32" s="1"/>
  <c r="K9" i="49"/>
  <c r="G25" i="49" s="1"/>
  <c r="K29" i="32" s="1"/>
  <c r="L9" i="49"/>
  <c r="H25" i="49" s="1"/>
  <c r="L29" i="32" s="1"/>
  <c r="M9" i="49"/>
  <c r="I25" i="49" s="1"/>
  <c r="M29" i="32" s="1"/>
  <c r="D9" i="49"/>
  <c r="F42" i="49"/>
  <c r="G42" i="49"/>
  <c r="H42" i="49"/>
  <c r="I42" i="49"/>
  <c r="J42" i="49"/>
  <c r="K42" i="49"/>
  <c r="L42" i="49"/>
  <c r="M42" i="49"/>
  <c r="N42" i="49"/>
  <c r="O42" i="49"/>
  <c r="P42" i="49"/>
  <c r="F43" i="49"/>
  <c r="G43" i="49"/>
  <c r="H43" i="49"/>
  <c r="I43" i="49"/>
  <c r="J43" i="49"/>
  <c r="K43" i="49"/>
  <c r="L43" i="49"/>
  <c r="M43" i="49"/>
  <c r="N43" i="49"/>
  <c r="O43" i="49"/>
  <c r="P43" i="49"/>
  <c r="I20" i="48"/>
  <c r="I99" i="48" s="1"/>
  <c r="J20" i="48"/>
  <c r="J99" i="48" s="1"/>
  <c r="K20" i="48"/>
  <c r="K99" i="48" s="1"/>
  <c r="L20" i="48"/>
  <c r="L99" i="48" s="1"/>
  <c r="M20" i="48"/>
  <c r="M99" i="48" s="1"/>
  <c r="N99" i="48" s="1"/>
  <c r="H20" i="48"/>
  <c r="H99" i="48" s="1"/>
  <c r="I19" i="48"/>
  <c r="I98" i="48" s="1"/>
  <c r="J19" i="48"/>
  <c r="J98" i="48" s="1"/>
  <c r="K19" i="48"/>
  <c r="K98" i="48" s="1"/>
  <c r="L19" i="48"/>
  <c r="L98" i="48" s="1"/>
  <c r="M19" i="48"/>
  <c r="M98" i="48" s="1"/>
  <c r="H19" i="48"/>
  <c r="H98" i="48" s="1"/>
  <c r="I18" i="48"/>
  <c r="I97" i="48" s="1"/>
  <c r="J18" i="48"/>
  <c r="J97" i="48" s="1"/>
  <c r="K18" i="48"/>
  <c r="K97" i="48" s="1"/>
  <c r="L18" i="48"/>
  <c r="L97" i="48" s="1"/>
  <c r="M18" i="48"/>
  <c r="M97" i="48" s="1"/>
  <c r="H18" i="48"/>
  <c r="H97" i="48" s="1"/>
  <c r="I17" i="48"/>
  <c r="I96" i="48" s="1"/>
  <c r="J17" i="48"/>
  <c r="J96" i="48" s="1"/>
  <c r="K17" i="48"/>
  <c r="K96" i="48" s="1"/>
  <c r="L17" i="48"/>
  <c r="L96" i="48" s="1"/>
  <c r="M17" i="48"/>
  <c r="M96" i="48" s="1"/>
  <c r="H17" i="48"/>
  <c r="H96" i="48" s="1"/>
  <c r="I13" i="48"/>
  <c r="J13" i="48"/>
  <c r="K13" i="48"/>
  <c r="L13" i="48"/>
  <c r="M13" i="48"/>
  <c r="H13" i="48"/>
  <c r="I12" i="48"/>
  <c r="J12" i="48"/>
  <c r="K12" i="48"/>
  <c r="L12" i="48"/>
  <c r="M12" i="48"/>
  <c r="H12" i="48"/>
  <c r="I11" i="48"/>
  <c r="J11" i="48"/>
  <c r="K11" i="48"/>
  <c r="L11" i="48"/>
  <c r="M11" i="48"/>
  <c r="H11" i="48"/>
  <c r="I10" i="48"/>
  <c r="J10" i="48"/>
  <c r="K10" i="48"/>
  <c r="L10" i="48"/>
  <c r="M10" i="48"/>
  <c r="H10" i="48"/>
  <c r="G42" i="48"/>
  <c r="F42" i="48"/>
  <c r="E42" i="48"/>
  <c r="G40" i="48"/>
  <c r="F40" i="48"/>
  <c r="E40" i="48"/>
  <c r="G39" i="48"/>
  <c r="F39" i="48"/>
  <c r="E39" i="48"/>
  <c r="E63" i="48" s="1"/>
  <c r="R37" i="48"/>
  <c r="Q37" i="48"/>
  <c r="P37" i="48"/>
  <c r="G41" i="48"/>
  <c r="F41" i="48"/>
  <c r="E41" i="48"/>
  <c r="Z11" i="33" l="1"/>
  <c r="AA12" i="33"/>
  <c r="O99" i="48"/>
  <c r="O98" i="48"/>
  <c r="O97" i="48"/>
  <c r="AA17" i="48"/>
  <c r="AB96" i="48"/>
  <c r="H85" i="48"/>
  <c r="K82" i="48"/>
  <c r="I83" i="48"/>
  <c r="L85" i="48"/>
  <c r="M84" i="48"/>
  <c r="H83" i="48"/>
  <c r="L84" i="48"/>
  <c r="J85" i="48"/>
  <c r="J83" i="48"/>
  <c r="J82" i="48"/>
  <c r="M83" i="48"/>
  <c r="K84" i="48"/>
  <c r="I85" i="48"/>
  <c r="I82" i="48"/>
  <c r="H82" i="48"/>
  <c r="L83" i="48"/>
  <c r="J84" i="48"/>
  <c r="L82" i="48"/>
  <c r="H84" i="48"/>
  <c r="K85" i="48"/>
  <c r="M82" i="48"/>
  <c r="K83" i="48"/>
  <c r="I84" i="48"/>
  <c r="M85" i="48"/>
  <c r="H66" i="48" s="1"/>
  <c r="X13" i="33"/>
  <c r="W10" i="33"/>
  <c r="H33" i="48"/>
  <c r="H40" i="48" s="1"/>
  <c r="H35" i="48"/>
  <c r="H42" i="48" s="1"/>
  <c r="H32" i="48"/>
  <c r="H39" i="48" s="1"/>
  <c r="H34" i="48"/>
  <c r="H41" i="48" s="1"/>
  <c r="K45" i="49"/>
  <c r="F44" i="49"/>
  <c r="L11" i="49"/>
  <c r="I45" i="49"/>
  <c r="E64" i="48"/>
  <c r="E65" i="48"/>
  <c r="F64" i="48"/>
  <c r="F63" i="48"/>
  <c r="F65" i="48"/>
  <c r="L9" i="48"/>
  <c r="G63" i="48"/>
  <c r="G64" i="48"/>
  <c r="E66" i="48"/>
  <c r="F66" i="48"/>
  <c r="G66" i="48"/>
  <c r="J65" i="48"/>
  <c r="J11" i="49"/>
  <c r="J12" i="49" s="1"/>
  <c r="F26" i="49" s="1"/>
  <c r="G11" i="49"/>
  <c r="G12" i="49" s="1"/>
  <c r="P45" i="49"/>
  <c r="H45" i="49"/>
  <c r="F11" i="49"/>
  <c r="F12" i="49" s="1"/>
  <c r="N45" i="49"/>
  <c r="F45" i="49"/>
  <c r="J45" i="49"/>
  <c r="M45" i="49"/>
  <c r="H11" i="49"/>
  <c r="H12" i="49" s="1"/>
  <c r="D26" i="49" s="1"/>
  <c r="L45" i="49"/>
  <c r="O45" i="49"/>
  <c r="G45" i="49"/>
  <c r="M11" i="49"/>
  <c r="M12" i="49" s="1"/>
  <c r="I26" i="49" s="1"/>
  <c r="E11" i="49"/>
  <c r="E12" i="49" s="1"/>
  <c r="D11" i="49"/>
  <c r="I11" i="49"/>
  <c r="I12" i="49" s="1"/>
  <c r="E26" i="49" s="1"/>
  <c r="K11" i="49"/>
  <c r="K12" i="49" s="1"/>
  <c r="G26" i="49" s="1"/>
  <c r="K16" i="48"/>
  <c r="K9" i="48"/>
  <c r="L16" i="48"/>
  <c r="M16" i="48"/>
  <c r="J16" i="48"/>
  <c r="I16" i="48"/>
  <c r="H16" i="48"/>
  <c r="J9" i="48"/>
  <c r="I9" i="48"/>
  <c r="M9" i="48"/>
  <c r="H9" i="48"/>
  <c r="I65" i="48"/>
  <c r="Q12" i="48" s="1"/>
  <c r="G65" i="48"/>
  <c r="AB12" i="33" l="1"/>
  <c r="AA11" i="33"/>
  <c r="AB17" i="48"/>
  <c r="AC96" i="48"/>
  <c r="AC17" i="48" s="1"/>
  <c r="O18" i="48"/>
  <c r="J47" i="52" s="1"/>
  <c r="P97" i="48"/>
  <c r="O19" i="48"/>
  <c r="P98" i="48"/>
  <c r="P99" i="48"/>
  <c r="O20" i="48"/>
  <c r="C22" i="35" s="1"/>
  <c r="D24" i="55" s="1"/>
  <c r="D99" i="55" s="1"/>
  <c r="N85" i="48"/>
  <c r="I66" i="48" s="1"/>
  <c r="Q13" i="48" s="1"/>
  <c r="R13" i="48" s="1"/>
  <c r="S13" i="48" s="1"/>
  <c r="T13" i="48" s="1"/>
  <c r="U12" i="48"/>
  <c r="V12" i="48" s="1"/>
  <c r="W12" i="48" s="1"/>
  <c r="X12" i="48" s="1"/>
  <c r="K65" i="48"/>
  <c r="Y13" i="33"/>
  <c r="X10" i="33"/>
  <c r="R12" i="48"/>
  <c r="S12" i="48" s="1"/>
  <c r="T12" i="48" s="1"/>
  <c r="Q11" i="48"/>
  <c r="J64" i="48"/>
  <c r="D12" i="49"/>
  <c r="T11" i="49"/>
  <c r="U11" i="49" s="1"/>
  <c r="V11" i="49" s="1"/>
  <c r="W11" i="49" s="1"/>
  <c r="X11" i="49" s="1"/>
  <c r="Y11" i="49" s="1"/>
  <c r="Z11" i="49" s="1"/>
  <c r="AA11" i="49" s="1"/>
  <c r="AB11" i="49" s="1"/>
  <c r="AC11" i="49" s="1"/>
  <c r="S11" i="49"/>
  <c r="L12" i="49"/>
  <c r="P11" i="49"/>
  <c r="Q11" i="49"/>
  <c r="O11" i="49"/>
  <c r="R11" i="49"/>
  <c r="F27" i="49"/>
  <c r="D27" i="49"/>
  <c r="I27" i="49"/>
  <c r="E27" i="49"/>
  <c r="G27" i="49"/>
  <c r="C17" i="49"/>
  <c r="C18" i="49" s="1"/>
  <c r="AB11" i="33" l="1"/>
  <c r="AC12" i="33"/>
  <c r="AC11" i="33" s="1"/>
  <c r="P20" i="48"/>
  <c r="D22" i="35" s="1"/>
  <c r="E24" i="55" s="1"/>
  <c r="Q99" i="48"/>
  <c r="D74" i="55"/>
  <c r="Q98" i="48"/>
  <c r="P19" i="48"/>
  <c r="Q97" i="48"/>
  <c r="P18" i="48"/>
  <c r="J66" i="48"/>
  <c r="K66" i="48" s="1"/>
  <c r="L66" i="48" s="1"/>
  <c r="AC13" i="48" s="1"/>
  <c r="I35" i="48"/>
  <c r="I42" i="48" s="1"/>
  <c r="J34" i="48"/>
  <c r="J41" i="48" s="1"/>
  <c r="L65" i="48"/>
  <c r="AC12" i="48" s="1"/>
  <c r="Y12" i="48"/>
  <c r="Z12" i="48" s="1"/>
  <c r="AA12" i="48" s="1"/>
  <c r="AB12" i="48" s="1"/>
  <c r="Z13" i="33"/>
  <c r="Y10" i="33"/>
  <c r="I34" i="48"/>
  <c r="I41" i="48" s="1"/>
  <c r="K64" i="48"/>
  <c r="U11" i="48"/>
  <c r="V11" i="48" s="1"/>
  <c r="W11" i="48" s="1"/>
  <c r="X11" i="48" s="1"/>
  <c r="R11" i="48"/>
  <c r="S11" i="48" s="1"/>
  <c r="T11" i="48" s="1"/>
  <c r="H26" i="49"/>
  <c r="H27" i="49" s="1"/>
  <c r="C21" i="35"/>
  <c r="E17" i="49"/>
  <c r="E18" i="49" s="1"/>
  <c r="D17" i="49"/>
  <c r="D18" i="49" s="1"/>
  <c r="D19" i="49" s="1"/>
  <c r="K25" i="49" s="1"/>
  <c r="F17" i="49"/>
  <c r="J32" i="52" l="1"/>
  <c r="O29" i="32"/>
  <c r="C11" i="35"/>
  <c r="R98" i="48"/>
  <c r="Q19" i="48"/>
  <c r="Q18" i="48"/>
  <c r="R97" i="48"/>
  <c r="R99" i="48"/>
  <c r="Q20" i="48"/>
  <c r="E22" i="35" s="1"/>
  <c r="F24" i="55" s="1"/>
  <c r="E99" i="55"/>
  <c r="E74" i="55"/>
  <c r="Y13" i="48"/>
  <c r="Z13" i="48" s="1"/>
  <c r="AA13" i="48" s="1"/>
  <c r="AB13" i="48" s="1"/>
  <c r="U13" i="48"/>
  <c r="V13" i="48" s="1"/>
  <c r="W13" i="48" s="1"/>
  <c r="X13" i="48" s="1"/>
  <c r="K34" i="48"/>
  <c r="K41" i="48" s="1"/>
  <c r="AA13" i="33"/>
  <c r="Z10" i="33"/>
  <c r="L64" i="48"/>
  <c r="AC11" i="48" s="1"/>
  <c r="Y11" i="48"/>
  <c r="Z11" i="48" s="1"/>
  <c r="AA11" i="48" s="1"/>
  <c r="AB11" i="48" s="1"/>
  <c r="I33" i="48"/>
  <c r="I40" i="48" s="1"/>
  <c r="J33" i="48"/>
  <c r="J40" i="48" s="1"/>
  <c r="E19" i="49"/>
  <c r="D23" i="55"/>
  <c r="D98" i="55" s="1"/>
  <c r="F18" i="49"/>
  <c r="F19" i="49" s="1"/>
  <c r="G17" i="49"/>
  <c r="G18" i="49" s="1"/>
  <c r="F99" i="55" l="1"/>
  <c r="F74" i="55"/>
  <c r="S99" i="48"/>
  <c r="R20" i="48"/>
  <c r="F22" i="35" s="1"/>
  <c r="G24" i="55" s="1"/>
  <c r="R18" i="48"/>
  <c r="S97" i="48"/>
  <c r="R19" i="48"/>
  <c r="S98" i="48"/>
  <c r="K35" i="48"/>
  <c r="K42" i="48" s="1"/>
  <c r="J35" i="48"/>
  <c r="J42" i="48" s="1"/>
  <c r="K33" i="48"/>
  <c r="K40" i="48" s="1"/>
  <c r="AB13" i="33"/>
  <c r="AA10" i="33"/>
  <c r="D73" i="55"/>
  <c r="D21" i="35"/>
  <c r="E23" i="55" s="1"/>
  <c r="E98" i="55" s="1"/>
  <c r="G19" i="49"/>
  <c r="T97" i="48" l="1"/>
  <c r="S18" i="48"/>
  <c r="T99" i="48"/>
  <c r="S20" i="48"/>
  <c r="G22" i="35" s="1"/>
  <c r="H24" i="55" s="1"/>
  <c r="G99" i="55"/>
  <c r="G74" i="55"/>
  <c r="T98" i="48"/>
  <c r="S19" i="48"/>
  <c r="AC13" i="33"/>
  <c r="AC10" i="33" s="1"/>
  <c r="AB10" i="33"/>
  <c r="E73" i="55"/>
  <c r="E21" i="35"/>
  <c r="F23" i="55" s="1"/>
  <c r="F98" i="55" s="1"/>
  <c r="U97" i="48" l="1"/>
  <c r="T18" i="48"/>
  <c r="U98" i="48"/>
  <c r="T19" i="48"/>
  <c r="U99" i="48"/>
  <c r="T20" i="48"/>
  <c r="H22" i="35" s="1"/>
  <c r="I24" i="55" s="1"/>
  <c r="H99" i="55"/>
  <c r="H74" i="55"/>
  <c r="F73" i="55"/>
  <c r="F21" i="35"/>
  <c r="G23" i="55" s="1"/>
  <c r="G98" i="55" s="1"/>
  <c r="I99" i="55" l="1"/>
  <c r="I74" i="55"/>
  <c r="V99" i="48"/>
  <c r="U20" i="48"/>
  <c r="I22" i="35" s="1"/>
  <c r="J24" i="55" s="1"/>
  <c r="V98" i="48"/>
  <c r="U19" i="48"/>
  <c r="V97" i="48"/>
  <c r="U18" i="48"/>
  <c r="G73" i="55"/>
  <c r="G21" i="35"/>
  <c r="H23" i="55" s="1"/>
  <c r="H98" i="55" s="1"/>
  <c r="W97" i="48" l="1"/>
  <c r="V18" i="48"/>
  <c r="V19" i="48"/>
  <c r="W98" i="48"/>
  <c r="W99" i="48"/>
  <c r="V20" i="48"/>
  <c r="J22" i="35" s="1"/>
  <c r="K24" i="55" s="1"/>
  <c r="J99" i="55"/>
  <c r="J74" i="55"/>
  <c r="H73" i="55"/>
  <c r="H21" i="35"/>
  <c r="I23" i="55" s="1"/>
  <c r="I98" i="55" s="1"/>
  <c r="K99" i="55" l="1"/>
  <c r="K74" i="55"/>
  <c r="W19" i="48"/>
  <c r="X98" i="48"/>
  <c r="X99" i="48"/>
  <c r="W20" i="48"/>
  <c r="K22" i="35" s="1"/>
  <c r="L24" i="55" s="1"/>
  <c r="X97" i="48"/>
  <c r="W18" i="48"/>
  <c r="I73" i="55"/>
  <c r="I21" i="35"/>
  <c r="J23" i="55" s="1"/>
  <c r="J98" i="55" s="1"/>
  <c r="Y97" i="48" l="1"/>
  <c r="X18" i="48"/>
  <c r="X19" i="48"/>
  <c r="Y98" i="48"/>
  <c r="L99" i="55"/>
  <c r="L74" i="55"/>
  <c r="Y99" i="48"/>
  <c r="X20" i="48"/>
  <c r="L22" i="35" s="1"/>
  <c r="M24" i="55" s="1"/>
  <c r="J73" i="55"/>
  <c r="J21" i="35"/>
  <c r="K23" i="55" s="1"/>
  <c r="K98" i="55" s="1"/>
  <c r="Z98" i="48" l="1"/>
  <c r="Y19" i="48"/>
  <c r="Y20" i="48"/>
  <c r="M22" i="35" s="1"/>
  <c r="N24" i="55" s="1"/>
  <c r="Z99" i="48"/>
  <c r="M99" i="55"/>
  <c r="M74" i="55"/>
  <c r="Z97" i="48"/>
  <c r="Y18" i="48"/>
  <c r="K73" i="55"/>
  <c r="K21" i="35"/>
  <c r="L23" i="55" s="1"/>
  <c r="L98" i="55" s="1"/>
  <c r="N99" i="55" l="1"/>
  <c r="N74" i="55"/>
  <c r="AA97" i="48"/>
  <c r="Z18" i="48"/>
  <c r="AA99" i="48"/>
  <c r="Z20" i="48"/>
  <c r="N22" i="35" s="1"/>
  <c r="O24" i="55" s="1"/>
  <c r="AA98" i="48"/>
  <c r="Z19" i="48"/>
  <c r="N21" i="35"/>
  <c r="O23" i="55" s="1"/>
  <c r="L73" i="55"/>
  <c r="M21" i="35"/>
  <c r="N23" i="55" s="1"/>
  <c r="N98" i="55" s="1"/>
  <c r="L21" i="35"/>
  <c r="M23" i="55" s="1"/>
  <c r="M98" i="55" s="1"/>
  <c r="O99" i="55" l="1"/>
  <c r="O74" i="55"/>
  <c r="AB97" i="48"/>
  <c r="AA18" i="48"/>
  <c r="AB98" i="48"/>
  <c r="AA19" i="48"/>
  <c r="AB99" i="48"/>
  <c r="AA20" i="48"/>
  <c r="O22" i="35" s="1"/>
  <c r="P24" i="55" s="1"/>
  <c r="O73" i="55"/>
  <c r="O98" i="55"/>
  <c r="O21" i="35"/>
  <c r="P23" i="55" s="1"/>
  <c r="M73" i="55"/>
  <c r="N73" i="55"/>
  <c r="E17" i="25"/>
  <c r="F17" i="25"/>
  <c r="G17" i="25"/>
  <c r="H17" i="25"/>
  <c r="I17" i="25"/>
  <c r="J17" i="25"/>
  <c r="K17" i="25"/>
  <c r="L17" i="25"/>
  <c r="M17" i="25"/>
  <c r="E16" i="25"/>
  <c r="F16" i="25"/>
  <c r="G16" i="25"/>
  <c r="H16" i="25"/>
  <c r="I16" i="25"/>
  <c r="J16" i="25"/>
  <c r="K16" i="25"/>
  <c r="L16" i="25"/>
  <c r="M16" i="25"/>
  <c r="K15" i="25"/>
  <c r="L15" i="25"/>
  <c r="M15" i="25"/>
  <c r="E15" i="25"/>
  <c r="F15" i="25"/>
  <c r="G15" i="25"/>
  <c r="H15" i="25"/>
  <c r="I15" i="25"/>
  <c r="J15" i="25"/>
  <c r="D16" i="25"/>
  <c r="D17" i="25"/>
  <c r="D15" i="25"/>
  <c r="I11" i="25"/>
  <c r="J11" i="25"/>
  <c r="K11" i="25"/>
  <c r="L11" i="25"/>
  <c r="M11" i="25"/>
  <c r="E11" i="25"/>
  <c r="F11" i="25"/>
  <c r="F20" i="25" s="1"/>
  <c r="G11" i="25"/>
  <c r="G20" i="25" s="1"/>
  <c r="H11" i="25"/>
  <c r="H20" i="25" s="1"/>
  <c r="H19" i="25" s="1"/>
  <c r="D11" i="25"/>
  <c r="P99" i="55" l="1"/>
  <c r="P74" i="55"/>
  <c r="AC99" i="48"/>
  <c r="AC20" i="48" s="1"/>
  <c r="Q22" i="35" s="1"/>
  <c r="R24" i="55" s="1"/>
  <c r="AB20" i="48"/>
  <c r="P22" i="35" s="1"/>
  <c r="Q24" i="55" s="1"/>
  <c r="AC97" i="48"/>
  <c r="AC18" i="48" s="1"/>
  <c r="AB18" i="48"/>
  <c r="AC98" i="48"/>
  <c r="AC19" i="48" s="1"/>
  <c r="AB19" i="48"/>
  <c r="P73" i="55"/>
  <c r="P98" i="55"/>
  <c r="Q21" i="35"/>
  <c r="R23" i="55" s="1"/>
  <c r="P21" i="35"/>
  <c r="Q23" i="55" s="1"/>
  <c r="F19" i="25"/>
  <c r="F13" i="32" s="1"/>
  <c r="G19" i="25"/>
  <c r="G13" i="32" s="1"/>
  <c r="E20" i="25"/>
  <c r="E19" i="25" s="1"/>
  <c r="D20" i="25"/>
  <c r="K53" i="38"/>
  <c r="L53" i="38"/>
  <c r="M53" i="38"/>
  <c r="J53" i="38"/>
  <c r="K54" i="38"/>
  <c r="L54" i="38"/>
  <c r="M54" i="38"/>
  <c r="J54" i="38"/>
  <c r="Q99" i="55" l="1"/>
  <c r="Q74" i="55"/>
  <c r="R74" i="55"/>
  <c r="R99" i="55"/>
  <c r="Q73" i="55"/>
  <c r="Q98" i="55"/>
  <c r="R73" i="55"/>
  <c r="R98" i="55"/>
  <c r="E13" i="32"/>
  <c r="D19" i="25"/>
  <c r="D13" i="32" s="1"/>
  <c r="F8" i="46"/>
  <c r="G8" i="46" s="1"/>
  <c r="F9" i="46"/>
  <c r="G9" i="46" s="1"/>
  <c r="F11" i="46"/>
  <c r="G11" i="46" s="1"/>
  <c r="F12" i="46"/>
  <c r="G12" i="46" s="1"/>
  <c r="F13" i="46"/>
  <c r="G13" i="46" s="1"/>
  <c r="F14" i="46"/>
  <c r="G14" i="46" s="1"/>
  <c r="F15" i="46"/>
  <c r="G15" i="46" s="1"/>
  <c r="F16" i="46"/>
  <c r="G16" i="46" s="1"/>
  <c r="F17" i="46"/>
  <c r="G17" i="46" s="1"/>
  <c r="F19" i="46"/>
  <c r="G19" i="46" s="1"/>
  <c r="F20" i="46"/>
  <c r="G20" i="46" s="1"/>
  <c r="F21" i="46"/>
  <c r="G21" i="46" s="1"/>
  <c r="F22" i="46"/>
  <c r="G22" i="46" s="1"/>
  <c r="F23" i="46"/>
  <c r="G23" i="46" s="1"/>
  <c r="F24" i="46"/>
  <c r="G24" i="46" s="1"/>
  <c r="F25" i="46"/>
  <c r="G25" i="46" s="1"/>
  <c r="F27" i="46"/>
  <c r="G27" i="46" s="1"/>
  <c r="G28" i="46"/>
  <c r="G29" i="46"/>
  <c r="G31" i="46"/>
  <c r="F32" i="46"/>
  <c r="G32" i="46" s="1"/>
  <c r="F35" i="46"/>
  <c r="G35" i="46" s="1"/>
  <c r="F36" i="46"/>
  <c r="G36" i="46" s="1"/>
  <c r="F37" i="46"/>
  <c r="G37" i="46" s="1"/>
  <c r="F38" i="46"/>
  <c r="G38" i="46" s="1"/>
  <c r="F39" i="46"/>
  <c r="G39" i="46" s="1"/>
  <c r="F40" i="46"/>
  <c r="G40" i="46" s="1"/>
  <c r="F41" i="46"/>
  <c r="G41" i="46" s="1"/>
  <c r="F43" i="46"/>
  <c r="G43" i="46" s="1"/>
  <c r="F44" i="46"/>
  <c r="G44" i="46" s="1"/>
  <c r="F45" i="46"/>
  <c r="G45" i="46" s="1"/>
  <c r="F46" i="46"/>
  <c r="G46" i="46" s="1"/>
  <c r="F47" i="46"/>
  <c r="G47" i="46" s="1"/>
  <c r="F48" i="46"/>
  <c r="G48" i="46" s="1"/>
  <c r="F49" i="46"/>
  <c r="G49" i="46" s="1"/>
  <c r="F50" i="46"/>
  <c r="G50" i="46" s="1"/>
  <c r="F51" i="46"/>
  <c r="G51" i="46" s="1"/>
  <c r="F52" i="46"/>
  <c r="G52" i="46" s="1"/>
  <c r="F53" i="46"/>
  <c r="G53" i="46" s="1"/>
  <c r="F55" i="46"/>
  <c r="G55" i="46" s="1"/>
  <c r="F56" i="46"/>
  <c r="G56" i="46" s="1"/>
  <c r="F57" i="46"/>
  <c r="F58" i="46"/>
  <c r="G58" i="46" s="1"/>
  <c r="F59" i="46"/>
  <c r="G59" i="46" s="1"/>
  <c r="F60" i="46"/>
  <c r="G60" i="46" s="1"/>
  <c r="F61" i="46"/>
  <c r="G61" i="46" s="1"/>
  <c r="F62" i="46"/>
  <c r="G62" i="46" s="1"/>
  <c r="F63" i="46"/>
  <c r="G63" i="46" s="1"/>
  <c r="F64" i="46"/>
  <c r="G64" i="46" s="1"/>
  <c r="F65" i="46"/>
  <c r="G65" i="46" s="1"/>
  <c r="F66" i="46"/>
  <c r="G66" i="46" s="1"/>
  <c r="F68" i="46"/>
  <c r="G68" i="46" s="1"/>
  <c r="F69" i="46"/>
  <c r="G69" i="46" s="1"/>
  <c r="F72" i="46"/>
  <c r="G72" i="46" s="1"/>
  <c r="F4" i="46"/>
  <c r="G4" i="46" s="1"/>
  <c r="F5" i="46"/>
  <c r="G5" i="46" s="1"/>
  <c r="F6" i="46"/>
  <c r="G6" i="46" s="1"/>
  <c r="F7" i="46"/>
  <c r="G7" i="46" s="1"/>
  <c r="F71" i="46"/>
  <c r="G71" i="46" s="1"/>
  <c r="F70" i="46"/>
  <c r="G70" i="46" s="1"/>
  <c r="F67" i="46"/>
  <c r="G67" i="46" s="1"/>
  <c r="F54" i="46"/>
  <c r="G54" i="46" s="1"/>
  <c r="F42" i="46"/>
  <c r="G42" i="46" s="1"/>
  <c r="F34" i="46"/>
  <c r="G34" i="46" s="1"/>
  <c r="F33" i="46"/>
  <c r="G33" i="46" s="1"/>
  <c r="G30" i="46"/>
  <c r="F26" i="46"/>
  <c r="G26" i="46" s="1"/>
  <c r="F18" i="46"/>
  <c r="G18" i="46" s="1"/>
  <c r="F10" i="46"/>
  <c r="G10" i="46" s="1"/>
  <c r="G44" i="30" l="1"/>
  <c r="Y77" i="26"/>
  <c r="AD26" i="26"/>
  <c r="AD27" i="26"/>
  <c r="O19" i="26"/>
  <c r="P19" i="26"/>
  <c r="R19" i="26"/>
  <c r="S19" i="26"/>
  <c r="T19" i="26"/>
  <c r="U19" i="26"/>
  <c r="V19" i="26"/>
  <c r="W19" i="26"/>
  <c r="X19" i="26"/>
  <c r="Y19" i="26"/>
  <c r="Y15" i="26"/>
  <c r="T14" i="26"/>
  <c r="T76" i="26" s="1"/>
  <c r="U14" i="26"/>
  <c r="U76" i="26" s="1"/>
  <c r="V14" i="26"/>
  <c r="V76" i="26" s="1"/>
  <c r="W14" i="26"/>
  <c r="W76" i="26" s="1"/>
  <c r="X14" i="26"/>
  <c r="X76" i="26" s="1"/>
  <c r="Y14" i="26"/>
  <c r="Y76" i="26" s="1"/>
  <c r="D30" i="25"/>
  <c r="N22" i="25" s="1"/>
  <c r="M22" i="25"/>
  <c r="P18" i="30"/>
  <c r="Q18" i="30"/>
  <c r="R18" i="30"/>
  <c r="S18" i="30"/>
  <c r="T18" i="30"/>
  <c r="U18" i="30"/>
  <c r="V18" i="30"/>
  <c r="W18" i="30"/>
  <c r="N6" i="5"/>
  <c r="N7" i="5"/>
  <c r="N8" i="5"/>
  <c r="N9" i="5"/>
  <c r="N10" i="5"/>
  <c r="N11" i="5"/>
  <c r="N12" i="5"/>
  <c r="N13" i="5"/>
  <c r="N14" i="5"/>
  <c r="N15" i="5"/>
  <c r="N5" i="5"/>
  <c r="D13" i="21" s="1"/>
  <c r="E78" i="21"/>
  <c r="F78" i="21"/>
  <c r="G78" i="21"/>
  <c r="D6" i="6"/>
  <c r="E6" i="6"/>
  <c r="F6" i="6"/>
  <c r="G6" i="6"/>
  <c r="H6" i="6"/>
  <c r="I6" i="6"/>
  <c r="J6" i="6"/>
  <c r="K6" i="6"/>
  <c r="L6" i="6"/>
  <c r="M6" i="6"/>
  <c r="N6" i="6"/>
  <c r="O6" i="6"/>
  <c r="P6" i="6"/>
  <c r="Q6" i="6"/>
  <c r="R6" i="6"/>
  <c r="S6" i="6"/>
  <c r="T6" i="6"/>
  <c r="U6" i="6"/>
  <c r="B6" i="6"/>
  <c r="C6" i="6"/>
  <c r="D6" i="5"/>
  <c r="D7" i="5"/>
  <c r="D8" i="5"/>
  <c r="D9" i="5"/>
  <c r="D10" i="5"/>
  <c r="D11" i="5"/>
  <c r="D12" i="5"/>
  <c r="D13" i="5"/>
  <c r="D14" i="5"/>
  <c r="D15" i="5"/>
  <c r="D5" i="5"/>
  <c r="I6" i="5"/>
  <c r="J6" i="5"/>
  <c r="I7" i="5"/>
  <c r="J7" i="5"/>
  <c r="I8" i="5"/>
  <c r="J8" i="5"/>
  <c r="I9" i="5"/>
  <c r="J9" i="5"/>
  <c r="R9" i="21" s="1"/>
  <c r="I10" i="5"/>
  <c r="J10" i="5"/>
  <c r="I11" i="5"/>
  <c r="J11" i="5"/>
  <c r="I12" i="5"/>
  <c r="J12" i="5"/>
  <c r="I13" i="5"/>
  <c r="J13" i="5"/>
  <c r="I14" i="5"/>
  <c r="J14" i="5"/>
  <c r="I15" i="5"/>
  <c r="J15" i="5"/>
  <c r="J5" i="5"/>
  <c r="C9" i="21" s="1"/>
  <c r="I5" i="5"/>
  <c r="D1" i="21"/>
  <c r="D12" i="21" s="1"/>
  <c r="L16" i="5"/>
  <c r="AB36" i="26" l="1"/>
  <c r="N13" i="21"/>
  <c r="N14" i="21" s="1"/>
  <c r="N15" i="21" s="1"/>
  <c r="F13" i="21"/>
  <c r="F14" i="21" s="1"/>
  <c r="F15" i="21" s="1"/>
  <c r="S9" i="21"/>
  <c r="V13" i="21"/>
  <c r="V14" i="21" s="1"/>
  <c r="V15" i="21" s="1"/>
  <c r="Q13" i="21"/>
  <c r="Q14" i="21" s="1"/>
  <c r="T13" i="21"/>
  <c r="T14" i="21" s="1"/>
  <c r="T15" i="21" s="1"/>
  <c r="S13" i="21"/>
  <c r="S14" i="21" s="1"/>
  <c r="P13" i="21"/>
  <c r="P14" i="21" s="1"/>
  <c r="L13" i="21"/>
  <c r="L14" i="21" s="1"/>
  <c r="V37" i="26" s="1"/>
  <c r="I13" i="21"/>
  <c r="I14" i="21" s="1"/>
  <c r="I15" i="21" s="1"/>
  <c r="U13" i="21"/>
  <c r="U14" i="21" s="1"/>
  <c r="U15" i="21" s="1"/>
  <c r="K13" i="21"/>
  <c r="K14" i="21" s="1"/>
  <c r="U37" i="26" s="1"/>
  <c r="H13" i="21"/>
  <c r="H14" i="21" s="1"/>
  <c r="H15" i="21" s="1"/>
  <c r="R13" i="21"/>
  <c r="R14" i="21" s="1"/>
  <c r="AB37" i="26" s="1"/>
  <c r="G13" i="21"/>
  <c r="G14" i="21" s="1"/>
  <c r="G15" i="21" s="1"/>
  <c r="E1" i="21"/>
  <c r="D9" i="21"/>
  <c r="D10" i="21"/>
  <c r="N38" i="26" s="1"/>
  <c r="N17" i="26" s="1"/>
  <c r="X37" i="26"/>
  <c r="K9" i="21"/>
  <c r="C13" i="21"/>
  <c r="C14" i="21" s="1"/>
  <c r="C15" i="21" s="1"/>
  <c r="E13" i="21"/>
  <c r="E14" i="21" s="1"/>
  <c r="O13" i="21"/>
  <c r="O14" i="21" s="1"/>
  <c r="J13" i="21"/>
  <c r="M13" i="21"/>
  <c r="M14" i="21" s="1"/>
  <c r="D14" i="21"/>
  <c r="O16" i="25"/>
  <c r="Q16" i="25" s="1"/>
  <c r="R16" i="25" s="1"/>
  <c r="S16" i="25" s="1"/>
  <c r="T16" i="25" s="1"/>
  <c r="U16" i="25" s="1"/>
  <c r="V16" i="25" s="1"/>
  <c r="W16" i="25" s="1"/>
  <c r="X16" i="25" s="1"/>
  <c r="Y16" i="25" s="1"/>
  <c r="Z16" i="25" s="1"/>
  <c r="AA16" i="25" s="1"/>
  <c r="AB16" i="25" s="1"/>
  <c r="AC16" i="25" s="1"/>
  <c r="O15" i="25"/>
  <c r="Q15" i="25" s="1"/>
  <c r="R15" i="25" s="1"/>
  <c r="S15" i="25" s="1"/>
  <c r="T15" i="25" s="1"/>
  <c r="U15" i="25" s="1"/>
  <c r="V15" i="25" s="1"/>
  <c r="W15" i="25" s="1"/>
  <c r="X15" i="25" s="1"/>
  <c r="Y15" i="25" s="1"/>
  <c r="Z15" i="25" s="1"/>
  <c r="AA15" i="25" s="1"/>
  <c r="AB15" i="25" s="1"/>
  <c r="AC15" i="25" s="1"/>
  <c r="O17" i="25"/>
  <c r="Q17" i="25" s="1"/>
  <c r="R17" i="25" s="1"/>
  <c r="S17" i="25" s="1"/>
  <c r="T17" i="25" s="1"/>
  <c r="U17" i="25" s="1"/>
  <c r="V17" i="25" s="1"/>
  <c r="W17" i="25" s="1"/>
  <c r="X17" i="25" s="1"/>
  <c r="Y17" i="25" s="1"/>
  <c r="Z17" i="25" s="1"/>
  <c r="AA17" i="25" s="1"/>
  <c r="AB17" i="25" s="1"/>
  <c r="AC17" i="25" s="1"/>
  <c r="N9" i="21"/>
  <c r="F9" i="21"/>
  <c r="V9" i="21"/>
  <c r="J16" i="5"/>
  <c r="I16" i="5"/>
  <c r="J9" i="21"/>
  <c r="C10" i="21"/>
  <c r="D16" i="5"/>
  <c r="V10" i="21"/>
  <c r="N10" i="21"/>
  <c r="F10" i="21"/>
  <c r="Q9" i="21"/>
  <c r="I9" i="21"/>
  <c r="U10" i="21"/>
  <c r="M10" i="21"/>
  <c r="P9" i="21"/>
  <c r="H9" i="21"/>
  <c r="T10" i="21"/>
  <c r="L10" i="21"/>
  <c r="O9" i="21"/>
  <c r="G9" i="21"/>
  <c r="G10" i="21"/>
  <c r="S10" i="21"/>
  <c r="AC38" i="26" s="1"/>
  <c r="AC17" i="26" s="1"/>
  <c r="K10" i="21"/>
  <c r="O10" i="21"/>
  <c r="R10" i="21"/>
  <c r="AB38" i="26" s="1"/>
  <c r="AB17" i="26" s="1"/>
  <c r="J10" i="21"/>
  <c r="U9" i="21"/>
  <c r="M9" i="21"/>
  <c r="Q10" i="21"/>
  <c r="AA38" i="26" s="1"/>
  <c r="AA17" i="26" s="1"/>
  <c r="I10" i="21"/>
  <c r="T9" i="21"/>
  <c r="L9" i="21"/>
  <c r="P10" i="21"/>
  <c r="Z38" i="26" s="1"/>
  <c r="Z17" i="26" s="1"/>
  <c r="H10" i="21"/>
  <c r="R38" i="26" s="1"/>
  <c r="R17" i="26" s="1"/>
  <c r="E9" i="21"/>
  <c r="E10" i="21"/>
  <c r="D40" i="32"/>
  <c r="E40" i="32"/>
  <c r="F40" i="32"/>
  <c r="G40" i="32"/>
  <c r="C40" i="32"/>
  <c r="M11" i="29"/>
  <c r="U16" i="6"/>
  <c r="T16" i="6"/>
  <c r="S16" i="6"/>
  <c r="R16" i="6"/>
  <c r="Q16" i="6"/>
  <c r="P16" i="6"/>
  <c r="O16" i="6"/>
  <c r="N16" i="6"/>
  <c r="C6" i="5"/>
  <c r="F6" i="5" s="1"/>
  <c r="C7" i="5"/>
  <c r="F7" i="5" s="1"/>
  <c r="C8" i="5"/>
  <c r="F8" i="5" s="1"/>
  <c r="C9" i="5"/>
  <c r="F9" i="5" s="1"/>
  <c r="C10" i="5"/>
  <c r="V3" i="21" s="1"/>
  <c r="C11" i="5"/>
  <c r="F11" i="5" s="1"/>
  <c r="C12" i="5"/>
  <c r="F12" i="5" s="1"/>
  <c r="C13" i="5"/>
  <c r="F13" i="5" s="1"/>
  <c r="C14" i="5"/>
  <c r="F14" i="5" s="1"/>
  <c r="C15" i="5"/>
  <c r="F15" i="5" s="1"/>
  <c r="C5" i="5"/>
  <c r="F5" i="5" s="1"/>
  <c r="B6" i="5"/>
  <c r="E6" i="5" s="1"/>
  <c r="H6" i="5"/>
  <c r="I12" i="21"/>
  <c r="B7" i="5"/>
  <c r="E7" i="5" s="1"/>
  <c r="H7" i="5"/>
  <c r="K12" i="21"/>
  <c r="B8" i="5"/>
  <c r="E8" i="5" s="1"/>
  <c r="H8" i="5"/>
  <c r="P12" i="21"/>
  <c r="B9" i="5"/>
  <c r="E9" i="5" s="1"/>
  <c r="H9" i="5"/>
  <c r="S12" i="21"/>
  <c r="B10" i="5"/>
  <c r="E10" i="5" s="1"/>
  <c r="V4" i="21" s="1"/>
  <c r="H10" i="5"/>
  <c r="V7" i="21" s="1"/>
  <c r="B11" i="5"/>
  <c r="E11" i="5" s="1"/>
  <c r="H11" i="5"/>
  <c r="B12" i="5"/>
  <c r="E12" i="5" s="1"/>
  <c r="H12" i="5"/>
  <c r="B13" i="5"/>
  <c r="E13" i="5" s="1"/>
  <c r="H13" i="5"/>
  <c r="B14" i="5"/>
  <c r="E14" i="5" s="1"/>
  <c r="H14" i="5"/>
  <c r="B15" i="5"/>
  <c r="E15" i="5" s="1"/>
  <c r="H15" i="5"/>
  <c r="C11" i="21"/>
  <c r="H5" i="5"/>
  <c r="B5" i="5"/>
  <c r="Q15" i="21" l="1"/>
  <c r="AA37" i="26"/>
  <c r="P15" i="21"/>
  <c r="Z37" i="26"/>
  <c r="S15" i="21"/>
  <c r="AC37" i="26"/>
  <c r="V43" i="21"/>
  <c r="H31" i="21"/>
  <c r="P31" i="21"/>
  <c r="I31" i="21"/>
  <c r="Q31" i="21"/>
  <c r="J31" i="21"/>
  <c r="R31" i="21"/>
  <c r="F31" i="21"/>
  <c r="K31" i="21"/>
  <c r="S31" i="21"/>
  <c r="L31" i="21"/>
  <c r="T31" i="21"/>
  <c r="O31" i="21"/>
  <c r="M31" i="21"/>
  <c r="U31" i="21"/>
  <c r="N31" i="21"/>
  <c r="V31" i="21"/>
  <c r="G31" i="21"/>
  <c r="AB13" i="26"/>
  <c r="AB34" i="26"/>
  <c r="R38" i="21"/>
  <c r="S38" i="21"/>
  <c r="T38" i="21"/>
  <c r="U38" i="21"/>
  <c r="N38" i="21"/>
  <c r="V38" i="21"/>
  <c r="O38" i="21"/>
  <c r="M38" i="21"/>
  <c r="P38" i="21"/>
  <c r="Q38" i="21"/>
  <c r="F30" i="21"/>
  <c r="N30" i="21"/>
  <c r="V30" i="21"/>
  <c r="G30" i="21"/>
  <c r="O30" i="21"/>
  <c r="E30" i="21"/>
  <c r="U30" i="21"/>
  <c r="H30" i="21"/>
  <c r="P30" i="21"/>
  <c r="I30" i="21"/>
  <c r="Q30" i="21"/>
  <c r="J30" i="21"/>
  <c r="R30" i="21"/>
  <c r="K30" i="21"/>
  <c r="S30" i="21"/>
  <c r="M30" i="21"/>
  <c r="L30" i="21"/>
  <c r="T30" i="21"/>
  <c r="T42" i="21"/>
  <c r="U42" i="21"/>
  <c r="V42" i="21"/>
  <c r="Q42" i="21"/>
  <c r="S42" i="21"/>
  <c r="R42" i="21"/>
  <c r="AA36" i="26"/>
  <c r="O37" i="21"/>
  <c r="L37" i="21"/>
  <c r="P37" i="21"/>
  <c r="N37" i="21"/>
  <c r="Q37" i="21"/>
  <c r="V37" i="21"/>
  <c r="R37" i="21"/>
  <c r="S37" i="21"/>
  <c r="T37" i="21"/>
  <c r="M37" i="21"/>
  <c r="U37" i="21"/>
  <c r="I33" i="21"/>
  <c r="Q33" i="21"/>
  <c r="J33" i="21"/>
  <c r="R33" i="21"/>
  <c r="P33" i="21"/>
  <c r="K33" i="21"/>
  <c r="S33" i="21"/>
  <c r="L33" i="21"/>
  <c r="T33" i="21"/>
  <c r="M33" i="21"/>
  <c r="U33" i="21"/>
  <c r="N33" i="21"/>
  <c r="V33" i="21"/>
  <c r="O33" i="21"/>
  <c r="H33" i="21"/>
  <c r="T39" i="21"/>
  <c r="U39" i="21"/>
  <c r="V39" i="21"/>
  <c r="O39" i="21"/>
  <c r="N39" i="21"/>
  <c r="P39" i="21"/>
  <c r="Q39" i="21"/>
  <c r="S39" i="21"/>
  <c r="R39" i="21"/>
  <c r="R43" i="21"/>
  <c r="U40" i="21"/>
  <c r="V40" i="21"/>
  <c r="O40" i="21"/>
  <c r="P40" i="21"/>
  <c r="T40" i="21"/>
  <c r="Q40" i="21"/>
  <c r="R40" i="21"/>
  <c r="S40" i="21"/>
  <c r="S36" i="21"/>
  <c r="L36" i="21"/>
  <c r="T36" i="21"/>
  <c r="M36" i="21"/>
  <c r="U36" i="21"/>
  <c r="N36" i="21"/>
  <c r="V36" i="21"/>
  <c r="R36" i="21"/>
  <c r="O36" i="21"/>
  <c r="K36" i="21"/>
  <c r="P36" i="21"/>
  <c r="Q36" i="21"/>
  <c r="U43" i="21"/>
  <c r="I32" i="21"/>
  <c r="Q32" i="21"/>
  <c r="J32" i="21"/>
  <c r="R32" i="21"/>
  <c r="K32" i="21"/>
  <c r="S32" i="21"/>
  <c r="L32" i="21"/>
  <c r="T32" i="21"/>
  <c r="P32" i="21"/>
  <c r="M32" i="21"/>
  <c r="U32" i="21"/>
  <c r="N32" i="21"/>
  <c r="V32" i="21"/>
  <c r="H32" i="21"/>
  <c r="O32" i="21"/>
  <c r="G32" i="21"/>
  <c r="P34" i="21"/>
  <c r="Q34" i="21"/>
  <c r="J34" i="21"/>
  <c r="R34" i="21"/>
  <c r="I34" i="21"/>
  <c r="K34" i="21"/>
  <c r="S34" i="21"/>
  <c r="L34" i="21"/>
  <c r="T34" i="21"/>
  <c r="M34" i="21"/>
  <c r="U34" i="21"/>
  <c r="N34" i="21"/>
  <c r="V34" i="21"/>
  <c r="O34" i="21"/>
  <c r="L29" i="21"/>
  <c r="T29" i="21"/>
  <c r="K29" i="21"/>
  <c r="E29" i="21"/>
  <c r="E28" i="21" s="1"/>
  <c r="O81" i="26" s="1"/>
  <c r="M29" i="21"/>
  <c r="U29" i="21"/>
  <c r="S29" i="21"/>
  <c r="F29" i="21"/>
  <c r="N29" i="21"/>
  <c r="V29" i="21"/>
  <c r="R29" i="21"/>
  <c r="G29" i="21"/>
  <c r="O29" i="21"/>
  <c r="D29" i="21"/>
  <c r="D28" i="21" s="1"/>
  <c r="H29" i="21"/>
  <c r="P29" i="21"/>
  <c r="I29" i="21"/>
  <c r="Q29" i="21"/>
  <c r="J29" i="21"/>
  <c r="U41" i="21"/>
  <c r="V41" i="21"/>
  <c r="P41" i="21"/>
  <c r="T41" i="21"/>
  <c r="Q41" i="21"/>
  <c r="R41" i="21"/>
  <c r="S41" i="21"/>
  <c r="Z36" i="26"/>
  <c r="N35" i="21"/>
  <c r="V35" i="21"/>
  <c r="O35" i="21"/>
  <c r="J35" i="21"/>
  <c r="P35" i="21"/>
  <c r="Q35" i="21"/>
  <c r="R35" i="21"/>
  <c r="U35" i="21"/>
  <c r="K35" i="21"/>
  <c r="S35" i="21"/>
  <c r="M35" i="21"/>
  <c r="L35" i="21"/>
  <c r="T35" i="21"/>
  <c r="T43" i="21"/>
  <c r="S44" i="21"/>
  <c r="V44" i="21"/>
  <c r="T44" i="21"/>
  <c r="U44" i="21"/>
  <c r="AC36" i="26"/>
  <c r="S43" i="21"/>
  <c r="G41" i="32"/>
  <c r="P37" i="26"/>
  <c r="D41" i="32"/>
  <c r="Y38" i="26"/>
  <c r="U38" i="26"/>
  <c r="U17" i="26" s="1"/>
  <c r="W38" i="26"/>
  <c r="W17" i="26" s="1"/>
  <c r="S38" i="26"/>
  <c r="S17" i="26" s="1"/>
  <c r="Q38" i="26"/>
  <c r="Q17" i="26" s="1"/>
  <c r="O38" i="26"/>
  <c r="O17" i="26" s="1"/>
  <c r="V38" i="26"/>
  <c r="V17" i="26" s="1"/>
  <c r="Q37" i="26"/>
  <c r="L15" i="21"/>
  <c r="F84" i="21"/>
  <c r="N3" i="21"/>
  <c r="J3" i="21"/>
  <c r="S37" i="26"/>
  <c r="K15" i="21"/>
  <c r="D84" i="21"/>
  <c r="K3" i="21"/>
  <c r="H3" i="21"/>
  <c r="M3" i="21"/>
  <c r="T3" i="21"/>
  <c r="O3" i="21"/>
  <c r="U3" i="21"/>
  <c r="L12" i="21"/>
  <c r="F3" i="21"/>
  <c r="R37" i="26"/>
  <c r="D83" i="21"/>
  <c r="S3" i="21"/>
  <c r="G83" i="21"/>
  <c r="Q3" i="21"/>
  <c r="M12" i="21"/>
  <c r="J12" i="21"/>
  <c r="G12" i="21"/>
  <c r="F12" i="21"/>
  <c r="U36" i="26"/>
  <c r="U13" i="26" s="1"/>
  <c r="N36" i="26"/>
  <c r="F83" i="21"/>
  <c r="C84" i="21"/>
  <c r="T12" i="21"/>
  <c r="E3" i="21"/>
  <c r="D85" i="21"/>
  <c r="M15" i="21"/>
  <c r="W37" i="26"/>
  <c r="G84" i="21"/>
  <c r="R15" i="21"/>
  <c r="R12" i="21"/>
  <c r="R3" i="21"/>
  <c r="U12" i="21"/>
  <c r="H12" i="21"/>
  <c r="D15" i="21"/>
  <c r="N37" i="26"/>
  <c r="L3" i="21"/>
  <c r="C83" i="21"/>
  <c r="E83" i="21"/>
  <c r="P3" i="21"/>
  <c r="I3" i="21"/>
  <c r="C3" i="21"/>
  <c r="V11" i="21"/>
  <c r="V12" i="21"/>
  <c r="W13" i="21"/>
  <c r="O15" i="21"/>
  <c r="F85" i="21" s="1"/>
  <c r="Y37" i="26"/>
  <c r="D3" i="21"/>
  <c r="N12" i="21"/>
  <c r="Q12" i="21"/>
  <c r="O12" i="21"/>
  <c r="J14" i="21"/>
  <c r="E15" i="21"/>
  <c r="O37" i="26"/>
  <c r="G3" i="21"/>
  <c r="E41" i="32"/>
  <c r="F41" i="32"/>
  <c r="C12" i="21"/>
  <c r="Y36" i="26"/>
  <c r="Y13" i="26" s="1"/>
  <c r="P36" i="26"/>
  <c r="P13" i="26" s="1"/>
  <c r="V36" i="26"/>
  <c r="V13" i="26" s="1"/>
  <c r="R36" i="26"/>
  <c r="R13" i="26" s="1"/>
  <c r="X36" i="26"/>
  <c r="X13" i="26" s="1"/>
  <c r="T36" i="26"/>
  <c r="T13" i="26" s="1"/>
  <c r="E12" i="21"/>
  <c r="O36" i="26"/>
  <c r="O13" i="26" s="1"/>
  <c r="W36" i="26"/>
  <c r="W13" i="26" s="1"/>
  <c r="Q36" i="26"/>
  <c r="Q13" i="26" s="1"/>
  <c r="S36" i="26"/>
  <c r="S13" i="26" s="1"/>
  <c r="D11" i="21"/>
  <c r="E11" i="21"/>
  <c r="J11" i="21"/>
  <c r="K11" i="21"/>
  <c r="L11" i="21"/>
  <c r="M11" i="21"/>
  <c r="Q11" i="21"/>
  <c r="P11" i="21"/>
  <c r="O11" i="21"/>
  <c r="N11" i="21"/>
  <c r="E5" i="5"/>
  <c r="E16" i="5" s="1"/>
  <c r="D8" i="21"/>
  <c r="U11" i="21"/>
  <c r="R11" i="21"/>
  <c r="S11" i="21"/>
  <c r="T11" i="21"/>
  <c r="I11" i="21"/>
  <c r="G11" i="21"/>
  <c r="H11" i="21"/>
  <c r="F11" i="21"/>
  <c r="C80" i="21"/>
  <c r="G79" i="21"/>
  <c r="G80" i="21"/>
  <c r="D79" i="21"/>
  <c r="X38" i="26"/>
  <c r="X17" i="26" s="1"/>
  <c r="F80" i="21"/>
  <c r="P38" i="26"/>
  <c r="P17" i="26" s="1"/>
  <c r="D80" i="21"/>
  <c r="E79" i="21"/>
  <c r="F79" i="21"/>
  <c r="T38" i="26"/>
  <c r="T17" i="26" s="1"/>
  <c r="E80" i="21"/>
  <c r="C79" i="21"/>
  <c r="F10" i="5"/>
  <c r="F16" i="5" s="1"/>
  <c r="C7" i="21"/>
  <c r="C8" i="21"/>
  <c r="C5" i="21"/>
  <c r="V6" i="21"/>
  <c r="W10" i="21"/>
  <c r="W9" i="21"/>
  <c r="F4" i="21"/>
  <c r="G4" i="21"/>
  <c r="Q25" i="32" s="1"/>
  <c r="H4" i="21"/>
  <c r="R25" i="32" s="1"/>
  <c r="I4" i="21"/>
  <c r="S25" i="32" s="1"/>
  <c r="U5" i="21"/>
  <c r="S5" i="21"/>
  <c r="AC24" i="32" s="1"/>
  <c r="Q15" i="35" s="1"/>
  <c r="R5" i="21"/>
  <c r="AB24" i="32" s="1"/>
  <c r="T5" i="21"/>
  <c r="N7" i="21"/>
  <c r="O7" i="21"/>
  <c r="P7" i="21"/>
  <c r="Q7" i="21"/>
  <c r="N5" i="21"/>
  <c r="O5" i="21"/>
  <c r="Y24" i="32" s="1"/>
  <c r="P5" i="21"/>
  <c r="Z24" i="32" s="1"/>
  <c r="Q5" i="21"/>
  <c r="AA24" i="32" s="1"/>
  <c r="O15" i="35" s="1"/>
  <c r="N4" i="21"/>
  <c r="O4" i="21"/>
  <c r="Y25" i="32" s="1"/>
  <c r="P4" i="21"/>
  <c r="Z25" i="32" s="1"/>
  <c r="N16" i="35" s="1"/>
  <c r="O18" i="55" s="1"/>
  <c r="Q4" i="21"/>
  <c r="AA25" i="32" s="1"/>
  <c r="M5" i="21"/>
  <c r="W24" i="32" s="1"/>
  <c r="K5" i="21"/>
  <c r="U24" i="32" s="1"/>
  <c r="J5" i="21"/>
  <c r="L5" i="21"/>
  <c r="V24" i="32" s="1"/>
  <c r="F5" i="21"/>
  <c r="G5" i="21"/>
  <c r="Q24" i="32" s="1"/>
  <c r="H5" i="21"/>
  <c r="R24" i="32" s="1"/>
  <c r="I5" i="21"/>
  <c r="S24" i="32" s="1"/>
  <c r="S6" i="21"/>
  <c r="T6" i="21"/>
  <c r="U6" i="21"/>
  <c r="R6" i="21"/>
  <c r="D7" i="21"/>
  <c r="H7" i="21"/>
  <c r="F7" i="21"/>
  <c r="G7" i="21"/>
  <c r="I7" i="21"/>
  <c r="J7" i="21"/>
  <c r="K7" i="21"/>
  <c r="L7" i="21"/>
  <c r="M7" i="21"/>
  <c r="C6" i="21"/>
  <c r="D6" i="21"/>
  <c r="D21" i="21" s="1"/>
  <c r="Q6" i="21"/>
  <c r="N6" i="21"/>
  <c r="O6" i="21"/>
  <c r="P6" i="21"/>
  <c r="E7" i="21"/>
  <c r="E6" i="21"/>
  <c r="E21" i="21" s="1"/>
  <c r="J4" i="21"/>
  <c r="K4" i="21"/>
  <c r="U25" i="32" s="1"/>
  <c r="L4" i="21"/>
  <c r="V25" i="32" s="1"/>
  <c r="M4" i="21"/>
  <c r="W25" i="32" s="1"/>
  <c r="K6" i="21"/>
  <c r="L6" i="21"/>
  <c r="M6" i="21"/>
  <c r="J6" i="21"/>
  <c r="R4" i="21"/>
  <c r="AB25" i="32" s="1"/>
  <c r="P16" i="35" s="1"/>
  <c r="T4" i="21"/>
  <c r="S4" i="21"/>
  <c r="AC25" i="32" s="1"/>
  <c r="U4" i="21"/>
  <c r="R7" i="21"/>
  <c r="S7" i="21"/>
  <c r="T7" i="21"/>
  <c r="U7" i="21"/>
  <c r="F6" i="21"/>
  <c r="G6" i="21"/>
  <c r="H6" i="21"/>
  <c r="I6" i="21"/>
  <c r="D5" i="21"/>
  <c r="N24" i="32" s="1"/>
  <c r="E5" i="21"/>
  <c r="O24" i="32" s="1"/>
  <c r="C15" i="35" s="1"/>
  <c r="Q10" i="29"/>
  <c r="R10" i="29"/>
  <c r="H16" i="5"/>
  <c r="B16" i="5"/>
  <c r="C16" i="5"/>
  <c r="M23" i="21" l="1"/>
  <c r="M24" i="21"/>
  <c r="K23" i="21"/>
  <c r="K24" i="21"/>
  <c r="L23" i="21"/>
  <c r="L24" i="21"/>
  <c r="P23" i="21"/>
  <c r="P24" i="21"/>
  <c r="I23" i="21"/>
  <c r="I24" i="21"/>
  <c r="N23" i="21"/>
  <c r="N19" i="21"/>
  <c r="N24" i="21"/>
  <c r="H23" i="21"/>
  <c r="H24" i="21"/>
  <c r="Q23" i="21"/>
  <c r="Q25" i="21" s="1"/>
  <c r="Q24" i="21"/>
  <c r="O23" i="21"/>
  <c r="O24" i="21"/>
  <c r="D23" i="21"/>
  <c r="D24" i="21"/>
  <c r="G23" i="21"/>
  <c r="G24" i="21"/>
  <c r="C23" i="21"/>
  <c r="C24" i="21"/>
  <c r="F23" i="21"/>
  <c r="F24" i="21"/>
  <c r="J23" i="21"/>
  <c r="J24" i="21"/>
  <c r="E23" i="21"/>
  <c r="E24" i="21"/>
  <c r="G85" i="21"/>
  <c r="G87" i="21" s="1"/>
  <c r="L19" i="21"/>
  <c r="L18" i="21"/>
  <c r="L20" i="21"/>
  <c r="K19" i="21"/>
  <c r="K18" i="21"/>
  <c r="K20" i="21"/>
  <c r="I18" i="21"/>
  <c r="I20" i="21"/>
  <c r="I19" i="21"/>
  <c r="D19" i="21"/>
  <c r="D20" i="21"/>
  <c r="D22" i="21"/>
  <c r="D18" i="21"/>
  <c r="H18" i="21"/>
  <c r="H20" i="21"/>
  <c r="H19" i="21"/>
  <c r="C19" i="21"/>
  <c r="C20" i="21"/>
  <c r="C21" i="21"/>
  <c r="C18" i="21"/>
  <c r="M20" i="21"/>
  <c r="M19" i="21"/>
  <c r="M18" i="21"/>
  <c r="G20" i="21"/>
  <c r="G19" i="21"/>
  <c r="G18" i="21"/>
  <c r="F18" i="21"/>
  <c r="F20" i="21"/>
  <c r="F19" i="21"/>
  <c r="J20" i="21"/>
  <c r="J19" i="21"/>
  <c r="J18" i="21"/>
  <c r="E19" i="21"/>
  <c r="E22" i="21"/>
  <c r="E18" i="21"/>
  <c r="E20" i="21"/>
  <c r="V43" i="30"/>
  <c r="Z43" i="30"/>
  <c r="AB43" i="30"/>
  <c r="P7" i="35" s="1"/>
  <c r="Q9" i="55" s="1"/>
  <c r="U43" i="30"/>
  <c r="Y43" i="30"/>
  <c r="M7" i="35" s="1"/>
  <c r="N9" i="55" s="1"/>
  <c r="N84" i="55" s="1"/>
  <c r="S43" i="30"/>
  <c r="AC43" i="30"/>
  <c r="Q7" i="35" s="1"/>
  <c r="R9" i="55" s="1"/>
  <c r="AA43" i="30"/>
  <c r="O7" i="35" s="1"/>
  <c r="P9" i="55" s="1"/>
  <c r="N43" i="30"/>
  <c r="R43" i="30"/>
  <c r="M43" i="30"/>
  <c r="Q43" i="30"/>
  <c r="E7" i="35" s="1"/>
  <c r="F9" i="55" s="1"/>
  <c r="F84" i="55" s="1"/>
  <c r="P43" i="30"/>
  <c r="D7" i="35" s="1"/>
  <c r="E9" i="55" s="1"/>
  <c r="E84" i="55" s="1"/>
  <c r="T43" i="30"/>
  <c r="H7" i="35" s="1"/>
  <c r="I9" i="55" s="1"/>
  <c r="I84" i="55" s="1"/>
  <c r="O43" i="30"/>
  <c r="C7" i="35" s="1"/>
  <c r="D9" i="55" s="1"/>
  <c r="D84" i="55" s="1"/>
  <c r="K48" i="21"/>
  <c r="S48" i="21"/>
  <c r="L48" i="21"/>
  <c r="T48" i="21"/>
  <c r="E48" i="21"/>
  <c r="E47" i="21" s="1"/>
  <c r="O83" i="26" s="1"/>
  <c r="M48" i="21"/>
  <c r="U48" i="21"/>
  <c r="F48" i="21"/>
  <c r="F47" i="21" s="1"/>
  <c r="P83" i="26" s="1"/>
  <c r="N48" i="21"/>
  <c r="V48" i="21"/>
  <c r="G48" i="21"/>
  <c r="G47" i="21" s="1"/>
  <c r="Q83" i="26" s="1"/>
  <c r="O48" i="21"/>
  <c r="D48" i="21"/>
  <c r="D47" i="21" s="1"/>
  <c r="N83" i="26" s="1"/>
  <c r="H48" i="21"/>
  <c r="P48" i="21"/>
  <c r="I48" i="21"/>
  <c r="Q48" i="21"/>
  <c r="J48" i="21"/>
  <c r="R48" i="21"/>
  <c r="AC23" i="32"/>
  <c r="AC19" i="32" s="1"/>
  <c r="Q16" i="35"/>
  <c r="AA23" i="32"/>
  <c r="AA19" i="32" s="1"/>
  <c r="O16" i="35"/>
  <c r="AA13" i="26"/>
  <c r="AA34" i="26"/>
  <c r="Z13" i="26"/>
  <c r="Z34" i="26"/>
  <c r="AC13" i="26"/>
  <c r="AC34" i="26"/>
  <c r="Z23" i="32"/>
  <c r="Z19" i="32" s="1"/>
  <c r="N15" i="35"/>
  <c r="O17" i="55" s="1"/>
  <c r="AB23" i="32"/>
  <c r="AB19" i="32" s="1"/>
  <c r="P15" i="35"/>
  <c r="Y15" i="30"/>
  <c r="Y13" i="30"/>
  <c r="Y78" i="26"/>
  <c r="Y17" i="26"/>
  <c r="AD17" i="26" s="1"/>
  <c r="H28" i="21"/>
  <c r="R81" i="26" s="1"/>
  <c r="F28" i="21"/>
  <c r="P81" i="26" s="1"/>
  <c r="G28" i="21"/>
  <c r="Q81" i="26" s="1"/>
  <c r="F87" i="21"/>
  <c r="D87" i="21"/>
  <c r="E4" i="21"/>
  <c r="O25" i="32" s="1"/>
  <c r="C16" i="35" s="1"/>
  <c r="D4" i="21"/>
  <c r="N25" i="32" s="1"/>
  <c r="E82" i="21"/>
  <c r="G82" i="21"/>
  <c r="C85" i="21"/>
  <c r="C87" i="21" s="1"/>
  <c r="W3" i="21"/>
  <c r="D82" i="21"/>
  <c r="J15" i="21"/>
  <c r="E85" i="21" s="1"/>
  <c r="T37" i="26"/>
  <c r="AD37" i="26" s="1"/>
  <c r="E84" i="21"/>
  <c r="C4" i="21"/>
  <c r="W14" i="21"/>
  <c r="X43" i="30"/>
  <c r="W43" i="30"/>
  <c r="F82" i="21"/>
  <c r="C81" i="21"/>
  <c r="AD36" i="26"/>
  <c r="C82" i="21"/>
  <c r="W12" i="21"/>
  <c r="AD38" i="26"/>
  <c r="D81" i="21"/>
  <c r="V5" i="21"/>
  <c r="G81" i="21"/>
  <c r="H8" i="21"/>
  <c r="E81" i="21"/>
  <c r="F81" i="21"/>
  <c r="W11" i="21"/>
  <c r="G76" i="21"/>
  <c r="F76" i="21"/>
  <c r="G75" i="21"/>
  <c r="F74" i="21"/>
  <c r="X25" i="32"/>
  <c r="F77" i="21"/>
  <c r="P25" i="32"/>
  <c r="D74" i="21"/>
  <c r="M24" i="32"/>
  <c r="C75" i="21"/>
  <c r="G77" i="21"/>
  <c r="E77" i="21"/>
  <c r="T24" i="32"/>
  <c r="E75" i="21"/>
  <c r="C78" i="21"/>
  <c r="D77" i="21"/>
  <c r="X24" i="32"/>
  <c r="F75" i="21"/>
  <c r="D76" i="21"/>
  <c r="G74" i="21"/>
  <c r="E74" i="21"/>
  <c r="T25" i="32"/>
  <c r="C76" i="21"/>
  <c r="C77" i="21"/>
  <c r="E76" i="21"/>
  <c r="P24" i="32"/>
  <c r="D75" i="21"/>
  <c r="W5" i="21"/>
  <c r="W7" i="21"/>
  <c r="W6" i="21"/>
  <c r="R59" i="55" l="1"/>
  <c r="R84" i="55"/>
  <c r="P59" i="55"/>
  <c r="P84" i="55"/>
  <c r="Q59" i="55"/>
  <c r="Q84" i="55"/>
  <c r="D25" i="21"/>
  <c r="I25" i="21"/>
  <c r="I26" i="21" s="1"/>
  <c r="P25" i="21"/>
  <c r="H25" i="21"/>
  <c r="H26" i="21" s="1"/>
  <c r="C25" i="21"/>
  <c r="O25" i="21"/>
  <c r="F7" i="35"/>
  <c r="G9" i="55" s="1"/>
  <c r="G84" i="55" s="1"/>
  <c r="J25" i="21"/>
  <c r="J26" i="21" s="1"/>
  <c r="M25" i="21"/>
  <c r="K25" i="21"/>
  <c r="N25" i="21"/>
  <c r="N7" i="35"/>
  <c r="O9" i="55" s="1"/>
  <c r="E25" i="21"/>
  <c r="F25" i="21"/>
  <c r="F26" i="21" s="1"/>
  <c r="G25" i="21"/>
  <c r="G26" i="21" s="1"/>
  <c r="L25" i="21"/>
  <c r="L26" i="21" s="1"/>
  <c r="G7" i="35"/>
  <c r="H9" i="55" s="1"/>
  <c r="H84" i="55" s="1"/>
  <c r="AA15" i="30"/>
  <c r="K26" i="21"/>
  <c r="J7" i="35"/>
  <c r="K9" i="55" s="1"/>
  <c r="K84" i="55" s="1"/>
  <c r="M26" i="21"/>
  <c r="AB13" i="30"/>
  <c r="AC13" i="30"/>
  <c r="I7" i="35"/>
  <c r="J9" i="55" s="1"/>
  <c r="J84" i="55" s="1"/>
  <c r="O52" i="21"/>
  <c r="O47" i="21" s="1"/>
  <c r="Y83" i="26" s="1"/>
  <c r="H52" i="21"/>
  <c r="H47" i="21" s="1"/>
  <c r="R83" i="26" s="1"/>
  <c r="P52" i="21"/>
  <c r="I52" i="21"/>
  <c r="I47" i="21" s="1"/>
  <c r="S83" i="26" s="1"/>
  <c r="Q52" i="21"/>
  <c r="Q47" i="21" s="1"/>
  <c r="AA83" i="26" s="1"/>
  <c r="J52" i="21"/>
  <c r="J47" i="21" s="1"/>
  <c r="T83" i="26" s="1"/>
  <c r="R52" i="21"/>
  <c r="R47" i="21" s="1"/>
  <c r="AB83" i="26" s="1"/>
  <c r="K52" i="21"/>
  <c r="K47" i="21" s="1"/>
  <c r="S52" i="21"/>
  <c r="L52" i="21"/>
  <c r="T52" i="21"/>
  <c r="T47" i="21" s="1"/>
  <c r="M52" i="21"/>
  <c r="M47" i="21" s="1"/>
  <c r="W83" i="26" s="1"/>
  <c r="U52" i="21"/>
  <c r="N52" i="21"/>
  <c r="N47" i="21" s="1"/>
  <c r="X83" i="26" s="1"/>
  <c r="V52" i="21"/>
  <c r="V47" i="21" s="1"/>
  <c r="AB15" i="30"/>
  <c r="Z15" i="30"/>
  <c r="Z13" i="30"/>
  <c r="N44" i="30"/>
  <c r="L7" i="35"/>
  <c r="M9" i="55" s="1"/>
  <c r="M84" i="55" s="1"/>
  <c r="E59" i="55"/>
  <c r="D59" i="55"/>
  <c r="F59" i="55"/>
  <c r="I59" i="55"/>
  <c r="N59" i="55"/>
  <c r="S47" i="21"/>
  <c r="AC83" i="26" s="1"/>
  <c r="L47" i="21"/>
  <c r="V83" i="26" s="1"/>
  <c r="U47" i="21"/>
  <c r="P47" i="21"/>
  <c r="Z83" i="26" s="1"/>
  <c r="O28" i="21"/>
  <c r="Y81" i="26" s="1"/>
  <c r="V28" i="21"/>
  <c r="N28" i="21"/>
  <c r="X81" i="26" s="1"/>
  <c r="U28" i="21"/>
  <c r="M28" i="21"/>
  <c r="W81" i="26" s="1"/>
  <c r="T28" i="21"/>
  <c r="L28" i="21"/>
  <c r="V81" i="26" s="1"/>
  <c r="S28" i="21"/>
  <c r="AC81" i="26" s="1"/>
  <c r="K28" i="21"/>
  <c r="U81" i="26" s="1"/>
  <c r="P28" i="21"/>
  <c r="Z81" i="26" s="1"/>
  <c r="R28" i="21"/>
  <c r="AB81" i="26" s="1"/>
  <c r="J28" i="21"/>
  <c r="T81" i="26" s="1"/>
  <c r="Q28" i="21"/>
  <c r="AA81" i="26" s="1"/>
  <c r="I28" i="21"/>
  <c r="S81" i="26" s="1"/>
  <c r="C74" i="21"/>
  <c r="E87" i="21"/>
  <c r="K7" i="35"/>
  <c r="L9" i="55" s="1"/>
  <c r="L84" i="55" s="1"/>
  <c r="W8" i="21"/>
  <c r="W4" i="21"/>
  <c r="M25" i="32"/>
  <c r="W15" i="21"/>
  <c r="T13" i="30"/>
  <c r="T15" i="30"/>
  <c r="U13" i="30"/>
  <c r="U15" i="30"/>
  <c r="W13" i="30"/>
  <c r="W15" i="30"/>
  <c r="V13" i="30"/>
  <c r="V15" i="30"/>
  <c r="D78" i="21"/>
  <c r="F12" i="30"/>
  <c r="G12" i="30"/>
  <c r="K14" i="40"/>
  <c r="K16" i="40" s="1"/>
  <c r="L14" i="40"/>
  <c r="L16" i="40" s="1"/>
  <c r="M14" i="40"/>
  <c r="M15" i="40" s="1"/>
  <c r="J14" i="40"/>
  <c r="S23" i="38"/>
  <c r="S24" i="38" s="1"/>
  <c r="S25" i="38" s="1"/>
  <c r="S26" i="38" s="1"/>
  <c r="K55" i="38"/>
  <c r="K56" i="38" s="1"/>
  <c r="L55" i="38"/>
  <c r="L56" i="38" s="1"/>
  <c r="M55" i="38"/>
  <c r="M56" i="38" s="1"/>
  <c r="J55" i="38"/>
  <c r="J56" i="38" s="1"/>
  <c r="S38" i="38"/>
  <c r="S39" i="38" s="1"/>
  <c r="S40" i="38" s="1"/>
  <c r="S41" i="38" s="1"/>
  <c r="S42" i="38" s="1"/>
  <c r="S43" i="38" s="1"/>
  <c r="S44" i="38" s="1"/>
  <c r="S45" i="38" s="1"/>
  <c r="S28" i="38"/>
  <c r="S29" i="38" s="1"/>
  <c r="O84" i="55" l="1"/>
  <c r="O59" i="55"/>
  <c r="H59" i="55"/>
  <c r="AC15" i="30"/>
  <c r="D26" i="21"/>
  <c r="E26" i="21"/>
  <c r="G59" i="55"/>
  <c r="K59" i="55"/>
  <c r="AA13" i="30"/>
  <c r="J59" i="55"/>
  <c r="U83" i="26"/>
  <c r="W47" i="21"/>
  <c r="M59" i="55"/>
  <c r="X15" i="30"/>
  <c r="X13" i="30"/>
  <c r="L59" i="55"/>
  <c r="V14" i="40"/>
  <c r="N18" i="32"/>
  <c r="O15" i="40"/>
  <c r="P15" i="40" s="1"/>
  <c r="L15" i="40"/>
  <c r="J16" i="40"/>
  <c r="M17" i="40"/>
  <c r="K15" i="40"/>
  <c r="L17" i="40"/>
  <c r="K17" i="40"/>
  <c r="M16" i="40"/>
  <c r="J15" i="40"/>
  <c r="J17" i="40"/>
  <c r="S30" i="38"/>
  <c r="T38" i="38"/>
  <c r="T39" i="38" s="1"/>
  <c r="T28" i="38"/>
  <c r="T29" i="38" s="1"/>
  <c r="T30" i="38" s="1"/>
  <c r="T31" i="38" s="1"/>
  <c r="T32" i="38" s="1"/>
  <c r="T33" i="38" s="1"/>
  <c r="T34" i="38" s="1"/>
  <c r="T35" i="38" s="1"/>
  <c r="T36" i="38" s="1"/>
  <c r="J14" i="38"/>
  <c r="M14" i="38" s="1"/>
  <c r="J15" i="38"/>
  <c r="M15" i="38" s="1"/>
  <c r="J16" i="38"/>
  <c r="J17" i="38"/>
  <c r="M17" i="38" s="1"/>
  <c r="J18" i="38"/>
  <c r="M18" i="38" s="1"/>
  <c r="J19" i="38"/>
  <c r="M19" i="38" s="1"/>
  <c r="J20" i="38"/>
  <c r="M20" i="38" s="1"/>
  <c r="J21" i="38"/>
  <c r="M21" i="38" s="1"/>
  <c r="J22" i="38"/>
  <c r="M22" i="38" s="1"/>
  <c r="J23" i="38"/>
  <c r="J24" i="38"/>
  <c r="M24" i="38" s="1"/>
  <c r="J25" i="38"/>
  <c r="M25" i="38" s="1"/>
  <c r="J26" i="38"/>
  <c r="M26" i="38" s="1"/>
  <c r="J27" i="38"/>
  <c r="J28" i="38"/>
  <c r="J29" i="38"/>
  <c r="J30" i="38"/>
  <c r="J31" i="38"/>
  <c r="P31" i="38" s="1"/>
  <c r="J32" i="38"/>
  <c r="J33" i="38"/>
  <c r="P33" i="38" s="1"/>
  <c r="J34" i="38"/>
  <c r="P34" i="38" s="1"/>
  <c r="J35" i="38"/>
  <c r="J36" i="38"/>
  <c r="P36" i="38" s="1"/>
  <c r="J37" i="38"/>
  <c r="J38" i="38"/>
  <c r="J39" i="38"/>
  <c r="Q39" i="38" s="1"/>
  <c r="J40" i="38"/>
  <c r="J41" i="38"/>
  <c r="Q41" i="38" s="1"/>
  <c r="J42" i="38"/>
  <c r="J43" i="38"/>
  <c r="Q43" i="38" s="1"/>
  <c r="J44" i="38"/>
  <c r="Q44" i="38" s="1"/>
  <c r="J45" i="38"/>
  <c r="J13" i="38"/>
  <c r="M13" i="38" s="1"/>
  <c r="J12" i="38"/>
  <c r="L12" i="38" s="1"/>
  <c r="J11" i="38"/>
  <c r="L11" i="38" s="1"/>
  <c r="O15" i="32"/>
  <c r="P15" i="32"/>
  <c r="Q15" i="32"/>
  <c r="R15" i="32"/>
  <c r="S15" i="32"/>
  <c r="T15" i="32"/>
  <c r="U15" i="32"/>
  <c r="V15" i="32"/>
  <c r="W15" i="32"/>
  <c r="X15" i="32"/>
  <c r="Y15" i="32"/>
  <c r="P11" i="40" l="1"/>
  <c r="P18" i="32" s="1"/>
  <c r="Q15" i="40"/>
  <c r="O11" i="40"/>
  <c r="O18" i="32" s="1"/>
  <c r="N76" i="26"/>
  <c r="O16" i="40"/>
  <c r="O17" i="40"/>
  <c r="M11" i="38"/>
  <c r="M12" i="38"/>
  <c r="N12" i="38" s="1"/>
  <c r="M23" i="38"/>
  <c r="N23" i="38"/>
  <c r="P38" i="38"/>
  <c r="Q38" i="38"/>
  <c r="P37" i="38"/>
  <c r="Q37" i="38"/>
  <c r="O28" i="38"/>
  <c r="P28" i="38"/>
  <c r="N22" i="38"/>
  <c r="P35" i="38"/>
  <c r="O27" i="38"/>
  <c r="P27" i="38"/>
  <c r="N26" i="38"/>
  <c r="O26" i="38" s="1"/>
  <c r="Q42" i="38"/>
  <c r="N25" i="38"/>
  <c r="O25" i="38" s="1"/>
  <c r="T40" i="38"/>
  <c r="P39" i="38"/>
  <c r="R39" i="38" s="1"/>
  <c r="P29" i="38"/>
  <c r="N24" i="38"/>
  <c r="O24" i="38" s="1"/>
  <c r="O30" i="38"/>
  <c r="P30" i="38"/>
  <c r="Q45" i="38"/>
  <c r="Q40" i="38"/>
  <c r="P32" i="38"/>
  <c r="M16" i="38"/>
  <c r="O29" i="38"/>
  <c r="Q29" i="38" s="1"/>
  <c r="S14" i="38"/>
  <c r="L13" i="38"/>
  <c r="S31" i="38"/>
  <c r="O31" i="38" s="1"/>
  <c r="Q31" i="38" s="1"/>
  <c r="Q28" i="38" l="1"/>
  <c r="R15" i="40"/>
  <c r="Q11" i="40"/>
  <c r="Q18" i="32" s="1"/>
  <c r="P17" i="40"/>
  <c r="O13" i="40"/>
  <c r="O19" i="30" s="1"/>
  <c r="O12" i="40"/>
  <c r="O14" i="26" s="1"/>
  <c r="O76" i="26" s="1"/>
  <c r="P16" i="40"/>
  <c r="Q30" i="38"/>
  <c r="M46" i="38"/>
  <c r="M47" i="38" s="1"/>
  <c r="N11" i="38"/>
  <c r="O23" i="38"/>
  <c r="R38" i="38"/>
  <c r="R37" i="38"/>
  <c r="Q27" i="38"/>
  <c r="T41" i="38"/>
  <c r="P40" i="38"/>
  <c r="R40" i="38" s="1"/>
  <c r="N13" i="38"/>
  <c r="S15" i="38"/>
  <c r="L15" i="38" s="1"/>
  <c r="N15" i="38" s="1"/>
  <c r="L14" i="38"/>
  <c r="N14" i="38" s="1"/>
  <c r="S32" i="38"/>
  <c r="O32" i="38" s="1"/>
  <c r="Q32" i="38" s="1"/>
  <c r="P12" i="40" l="1"/>
  <c r="P14" i="26" s="1"/>
  <c r="P76" i="26" s="1"/>
  <c r="Q16" i="40"/>
  <c r="P13" i="40"/>
  <c r="P19" i="30" s="1"/>
  <c r="P15" i="30" s="1"/>
  <c r="Q17" i="40"/>
  <c r="R11" i="40"/>
  <c r="R18" i="32" s="1"/>
  <c r="S15" i="40"/>
  <c r="S11" i="40" s="1"/>
  <c r="T42" i="38"/>
  <c r="P41" i="38"/>
  <c r="R41" i="38" s="1"/>
  <c r="S16" i="38"/>
  <c r="L16" i="38" s="1"/>
  <c r="N16" i="38" s="1"/>
  <c r="S33" i="38"/>
  <c r="O33" i="38" s="1"/>
  <c r="Q33" i="38" s="1"/>
  <c r="R16" i="40" l="1"/>
  <c r="Q12" i="40"/>
  <c r="Q14" i="26" s="1"/>
  <c r="Q76" i="26" s="1"/>
  <c r="R17" i="40"/>
  <c r="Q13" i="40"/>
  <c r="Q19" i="30" s="1"/>
  <c r="T43" i="38"/>
  <c r="P42" i="38"/>
  <c r="S17" i="38"/>
  <c r="L17" i="38" s="1"/>
  <c r="N17" i="38" s="1"/>
  <c r="S34" i="38"/>
  <c r="O34" i="38" s="1"/>
  <c r="Q13" i="30" l="1"/>
  <c r="Q15" i="30"/>
  <c r="S17" i="40"/>
  <c r="S13" i="40" s="1"/>
  <c r="S19" i="30" s="1"/>
  <c r="R13" i="40"/>
  <c r="R19" i="30" s="1"/>
  <c r="R12" i="40"/>
  <c r="R14" i="26" s="1"/>
  <c r="R76" i="26" s="1"/>
  <c r="S16" i="40"/>
  <c r="S12" i="40" s="1"/>
  <c r="S14" i="26" s="1"/>
  <c r="S76" i="26" s="1"/>
  <c r="Q34" i="38"/>
  <c r="R42" i="38"/>
  <c r="T44" i="38"/>
  <c r="P43" i="38"/>
  <c r="R43" i="38" s="1"/>
  <c r="S18" i="38"/>
  <c r="S35" i="38"/>
  <c r="O35" i="38" s="1"/>
  <c r="Q35" i="38" s="1"/>
  <c r="S13" i="30" l="1"/>
  <c r="S15" i="30"/>
  <c r="R13" i="30"/>
  <c r="R15" i="30"/>
  <c r="T45" i="38"/>
  <c r="P45" i="38" s="1"/>
  <c r="R45" i="38" s="1"/>
  <c r="P44" i="38"/>
  <c r="S19" i="38"/>
  <c r="L18" i="38"/>
  <c r="S36" i="38"/>
  <c r="O36" i="38" s="1"/>
  <c r="Q36" i="38" l="1"/>
  <c r="Q46" i="38" s="1"/>
  <c r="Q47" i="38" s="1"/>
  <c r="O46" i="38"/>
  <c r="O47" i="38" s="1"/>
  <c r="R44" i="38"/>
  <c r="P46" i="38"/>
  <c r="P47" i="38" s="1"/>
  <c r="R46" i="38"/>
  <c r="R47" i="38" s="1"/>
  <c r="N18" i="38"/>
  <c r="S20" i="38"/>
  <c r="L19" i="38"/>
  <c r="N19" i="38" s="1"/>
  <c r="N21" i="38" l="1"/>
  <c r="L20" i="38"/>
  <c r="N20" i="38" s="1"/>
  <c r="N17" i="32" l="1"/>
  <c r="N55" i="38"/>
  <c r="N46" i="38"/>
  <c r="N47" i="38" s="1"/>
  <c r="L46" i="38"/>
  <c r="L47" i="38" s="1"/>
  <c r="N56" i="38" l="1"/>
  <c r="O55" i="38"/>
  <c r="O56" i="38"/>
  <c r="O53" i="38" l="1"/>
  <c r="O54" i="38"/>
  <c r="P56" i="38"/>
  <c r="P53" i="38"/>
  <c r="D15" i="55"/>
  <c r="D90" i="55" s="1"/>
  <c r="D13" i="35"/>
  <c r="E15" i="55" s="1"/>
  <c r="E90" i="55" s="1"/>
  <c r="E13" i="35"/>
  <c r="F15" i="55" s="1"/>
  <c r="F90" i="55" s="1"/>
  <c r="F13" i="35"/>
  <c r="G15" i="55" s="1"/>
  <c r="G90" i="55" s="1"/>
  <c r="G13" i="35"/>
  <c r="H15" i="55" s="1"/>
  <c r="H90" i="55" s="1"/>
  <c r="H13" i="35"/>
  <c r="I15" i="55" s="1"/>
  <c r="I90" i="55" s="1"/>
  <c r="I13" i="35"/>
  <c r="J15" i="55" s="1"/>
  <c r="J90" i="55" s="1"/>
  <c r="J13" i="35"/>
  <c r="K15" i="55" s="1"/>
  <c r="K90" i="55" s="1"/>
  <c r="K13" i="35"/>
  <c r="L15" i="55" s="1"/>
  <c r="L90" i="55" s="1"/>
  <c r="L13" i="35"/>
  <c r="M15" i="55" s="1"/>
  <c r="M90" i="55" s="1"/>
  <c r="M13" i="35"/>
  <c r="N15" i="55" s="1"/>
  <c r="N90" i="55" s="1"/>
  <c r="D16" i="55"/>
  <c r="D91" i="55" s="1"/>
  <c r="D14" i="35"/>
  <c r="E16" i="55" s="1"/>
  <c r="E91" i="55" s="1"/>
  <c r="E14" i="35"/>
  <c r="F16" i="55" s="1"/>
  <c r="F91" i="55" s="1"/>
  <c r="F14" i="35"/>
  <c r="G16" i="55" s="1"/>
  <c r="G91" i="55" s="1"/>
  <c r="G14" i="35"/>
  <c r="H16" i="55" s="1"/>
  <c r="H91" i="55" s="1"/>
  <c r="H14" i="35"/>
  <c r="I16" i="55" s="1"/>
  <c r="I91" i="55" s="1"/>
  <c r="I14" i="35"/>
  <c r="J16" i="55" s="1"/>
  <c r="J91" i="55" s="1"/>
  <c r="J14" i="35"/>
  <c r="K16" i="55" s="1"/>
  <c r="K91" i="55" s="1"/>
  <c r="K14" i="35"/>
  <c r="L16" i="55" s="1"/>
  <c r="L91" i="55" s="1"/>
  <c r="L14" i="35"/>
  <c r="M16" i="55" s="1"/>
  <c r="M91" i="55" s="1"/>
  <c r="M14" i="35"/>
  <c r="N16" i="55" s="1"/>
  <c r="N91" i="55" s="1"/>
  <c r="D18" i="55"/>
  <c r="D93" i="55" s="1"/>
  <c r="D16" i="35"/>
  <c r="E18" i="55" s="1"/>
  <c r="E93" i="55" s="1"/>
  <c r="E16" i="35"/>
  <c r="F18" i="55" s="1"/>
  <c r="F93" i="55" s="1"/>
  <c r="F16" i="35"/>
  <c r="G18" i="55" s="1"/>
  <c r="G93" i="55" s="1"/>
  <c r="G16" i="35"/>
  <c r="H18" i="55" s="1"/>
  <c r="H93" i="55" s="1"/>
  <c r="H16" i="35"/>
  <c r="I18" i="55" s="1"/>
  <c r="I93" i="55" s="1"/>
  <c r="J16" i="35"/>
  <c r="K18" i="55" s="1"/>
  <c r="K93" i="55" s="1"/>
  <c r="K16" i="35"/>
  <c r="L18" i="55" s="1"/>
  <c r="L93" i="55" s="1"/>
  <c r="L16" i="35"/>
  <c r="M18" i="55" s="1"/>
  <c r="M93" i="55" s="1"/>
  <c r="M16" i="35"/>
  <c r="N18" i="55" s="1"/>
  <c r="N93" i="55" s="1"/>
  <c r="D17" i="55"/>
  <c r="D92" i="55" s="1"/>
  <c r="E15" i="35"/>
  <c r="F17" i="55" s="1"/>
  <c r="F92" i="55" s="1"/>
  <c r="F15" i="35"/>
  <c r="G17" i="55" s="1"/>
  <c r="G92" i="55" s="1"/>
  <c r="G15" i="35"/>
  <c r="H17" i="55" s="1"/>
  <c r="H92" i="55" s="1"/>
  <c r="H15" i="35"/>
  <c r="I17" i="55" s="1"/>
  <c r="I92" i="55" s="1"/>
  <c r="I15" i="35"/>
  <c r="J17" i="55" s="1"/>
  <c r="J92" i="55" s="1"/>
  <c r="K15" i="35"/>
  <c r="L17" i="55" s="1"/>
  <c r="L92" i="55" s="1"/>
  <c r="L15" i="35"/>
  <c r="M17" i="55" s="1"/>
  <c r="M92" i="55" s="1"/>
  <c r="M15" i="35"/>
  <c r="N17" i="55" s="1"/>
  <c r="N92" i="55" s="1"/>
  <c r="H67" i="55" l="1"/>
  <c r="I68" i="55"/>
  <c r="L66" i="55"/>
  <c r="D66" i="55"/>
  <c r="G65" i="55"/>
  <c r="G67" i="55"/>
  <c r="H68" i="55"/>
  <c r="K66" i="55"/>
  <c r="N65" i="55"/>
  <c r="F65" i="55"/>
  <c r="E65" i="55"/>
  <c r="D67" i="55"/>
  <c r="F68" i="55"/>
  <c r="I66" i="55"/>
  <c r="L65" i="55"/>
  <c r="D65" i="55"/>
  <c r="F67" i="55"/>
  <c r="M67" i="55"/>
  <c r="H66" i="55"/>
  <c r="K65" i="55"/>
  <c r="G68" i="55"/>
  <c r="N67" i="55"/>
  <c r="M68" i="55"/>
  <c r="D68" i="55"/>
  <c r="G66" i="55"/>
  <c r="J65" i="55"/>
  <c r="M65" i="55"/>
  <c r="E68" i="55"/>
  <c r="J67" i="55"/>
  <c r="L68" i="55"/>
  <c r="N66" i="55"/>
  <c r="F66" i="55"/>
  <c r="I65" i="55"/>
  <c r="J66" i="55"/>
  <c r="N68" i="55"/>
  <c r="L67" i="55"/>
  <c r="I67" i="55"/>
  <c r="K68" i="55"/>
  <c r="M66" i="55"/>
  <c r="E66" i="55"/>
  <c r="H65" i="55"/>
  <c r="P17" i="32"/>
  <c r="P54" i="38"/>
  <c r="P23" i="32"/>
  <c r="P19" i="32" s="1"/>
  <c r="U23" i="32"/>
  <c r="U19" i="32" s="1"/>
  <c r="I16" i="35"/>
  <c r="J18" i="55" s="1"/>
  <c r="J93" i="55" s="1"/>
  <c r="V23" i="32"/>
  <c r="V19" i="32" s="1"/>
  <c r="N23" i="32"/>
  <c r="N19" i="32" s="1"/>
  <c r="J15" i="35"/>
  <c r="K17" i="55" s="1"/>
  <c r="K92" i="55" s="1"/>
  <c r="D15" i="35"/>
  <c r="E17" i="55" s="1"/>
  <c r="E92" i="55" s="1"/>
  <c r="X23" i="32"/>
  <c r="X19" i="32" s="1"/>
  <c r="M23" i="32"/>
  <c r="R23" i="32"/>
  <c r="R19" i="32" s="1"/>
  <c r="W23" i="32"/>
  <c r="W19" i="32" s="1"/>
  <c r="O23" i="32"/>
  <c r="O19" i="32" s="1"/>
  <c r="T23" i="32"/>
  <c r="T19" i="32" s="1"/>
  <c r="S23" i="32"/>
  <c r="S19" i="32" s="1"/>
  <c r="Y23" i="32"/>
  <c r="Y19" i="32" s="1"/>
  <c r="Q23" i="32"/>
  <c r="Q19" i="32" s="1"/>
  <c r="E67" i="55" l="1"/>
  <c r="K67" i="55"/>
  <c r="J68" i="55"/>
  <c r="P14" i="30"/>
  <c r="P13" i="30" s="1"/>
  <c r="P55" i="38"/>
  <c r="D12" i="32"/>
  <c r="E12" i="32"/>
  <c r="F12" i="32"/>
  <c r="G12" i="32"/>
  <c r="D28" i="32"/>
  <c r="E28" i="32"/>
  <c r="F28" i="32"/>
  <c r="G28" i="32"/>
  <c r="G50" i="32" l="1"/>
  <c r="F50" i="32"/>
  <c r="E50" i="32"/>
  <c r="D50" i="32"/>
  <c r="I15" i="32"/>
  <c r="H15" i="32"/>
  <c r="I12" i="32"/>
  <c r="J12" i="32"/>
  <c r="K12" i="32"/>
  <c r="L12" i="32"/>
  <c r="M12" i="32"/>
  <c r="H12" i="32"/>
  <c r="I28" i="32"/>
  <c r="J28" i="32"/>
  <c r="K28" i="32"/>
  <c r="L28" i="32"/>
  <c r="M28" i="32"/>
  <c r="H28" i="32"/>
  <c r="J50" i="32" l="1"/>
  <c r="M50" i="32"/>
  <c r="L50" i="32"/>
  <c r="K50" i="32"/>
  <c r="I50" i="32"/>
  <c r="H50" i="32"/>
  <c r="E11" i="33"/>
  <c r="F11" i="33"/>
  <c r="G11" i="33"/>
  <c r="H11" i="33"/>
  <c r="H10" i="33" s="1"/>
  <c r="I11" i="33"/>
  <c r="J11" i="33"/>
  <c r="K11" i="33"/>
  <c r="L11" i="33"/>
  <c r="M11" i="33"/>
  <c r="D11" i="33"/>
  <c r="D10" i="33" s="1"/>
  <c r="F10" i="33" l="1"/>
  <c r="F14" i="32" s="1"/>
  <c r="J12" i="33"/>
  <c r="J10" i="33"/>
  <c r="J14" i="32" s="1"/>
  <c r="I10" i="33"/>
  <c r="I14" i="32" s="1"/>
  <c r="L12" i="33"/>
  <c r="L10" i="33"/>
  <c r="L14" i="32" s="1"/>
  <c r="M12" i="33"/>
  <c r="M10" i="33"/>
  <c r="M14" i="32" s="1"/>
  <c r="E10" i="33"/>
  <c r="E14" i="32" s="1"/>
  <c r="K14" i="32"/>
  <c r="K12" i="33"/>
  <c r="K10" i="33"/>
  <c r="G10" i="33"/>
  <c r="G14" i="32" s="1"/>
  <c r="D14" i="32"/>
  <c r="D52" i="32" s="1"/>
  <c r="H14" i="32"/>
  <c r="D22" i="33"/>
  <c r="C22" i="33" l="1"/>
  <c r="F49" i="32"/>
  <c r="F51" i="32" s="1"/>
  <c r="F54" i="32" s="1"/>
  <c r="F20" i="32" s="1"/>
  <c r="F21" i="32" s="1"/>
  <c r="F22" i="32" s="1"/>
  <c r="F52" i="32"/>
  <c r="G49" i="32"/>
  <c r="G51" i="32" s="1"/>
  <c r="G52" i="32"/>
  <c r="E52" i="32"/>
  <c r="E49" i="32"/>
  <c r="E51" i="32" s="1"/>
  <c r="E54" i="32" s="1"/>
  <c r="E20" i="32" s="1"/>
  <c r="E21" i="32" s="1"/>
  <c r="E22" i="32" s="1"/>
  <c r="D49" i="32"/>
  <c r="D51" i="32" s="1"/>
  <c r="D54" i="32" s="1"/>
  <c r="D20" i="32" s="1"/>
  <c r="D21" i="32" s="1"/>
  <c r="D22" i="32" s="1"/>
  <c r="G54" i="32"/>
  <c r="G20" i="32" s="1"/>
  <c r="G21" i="32" s="1"/>
  <c r="G22" i="32" s="1"/>
  <c r="N14" i="32" l="1"/>
  <c r="C12" i="35"/>
  <c r="O14" i="32" l="1"/>
  <c r="D14" i="55"/>
  <c r="D89" i="55" s="1"/>
  <c r="D64" i="55" l="1"/>
  <c r="P14" i="32"/>
  <c r="D12" i="35"/>
  <c r="E14" i="55" s="1"/>
  <c r="E89" i="55" s="1"/>
  <c r="E64" i="55" l="1"/>
  <c r="Q14" i="32"/>
  <c r="E12" i="35"/>
  <c r="F14" i="55" s="1"/>
  <c r="F89" i="55" s="1"/>
  <c r="F64" i="55" l="1"/>
  <c r="R14" i="32"/>
  <c r="F12" i="35"/>
  <c r="G14" i="55" s="1"/>
  <c r="G89" i="55" s="1"/>
  <c r="G64" i="55" l="1"/>
  <c r="T14" i="32"/>
  <c r="S14" i="32"/>
  <c r="G12" i="35"/>
  <c r="H14" i="55" s="1"/>
  <c r="H89" i="55" s="1"/>
  <c r="H64" i="55" l="1"/>
  <c r="I12" i="35"/>
  <c r="J14" i="55" s="1"/>
  <c r="J89" i="55" s="1"/>
  <c r="H12" i="35"/>
  <c r="I14" i="55" s="1"/>
  <c r="I89" i="55" s="1"/>
  <c r="J64" i="55" l="1"/>
  <c r="I64" i="55"/>
  <c r="V14" i="32"/>
  <c r="U14" i="32"/>
  <c r="W14" i="32" l="1"/>
  <c r="J12" i="35"/>
  <c r="K14" i="55" s="1"/>
  <c r="K89" i="55" s="1"/>
  <c r="K64" i="55" l="1"/>
  <c r="K12" i="35"/>
  <c r="L14" i="55" s="1"/>
  <c r="L89" i="55" s="1"/>
  <c r="X14" i="32"/>
  <c r="L64" i="55" l="1"/>
  <c r="L12" i="35"/>
  <c r="M14" i="55" s="1"/>
  <c r="M89" i="55" s="1"/>
  <c r="D30" i="32"/>
  <c r="E30" i="32"/>
  <c r="F30" i="32"/>
  <c r="G30" i="32"/>
  <c r="I30" i="32"/>
  <c r="Y14" i="32" l="1"/>
  <c r="M64" i="55"/>
  <c r="F31" i="32"/>
  <c r="G31" i="32"/>
  <c r="E31" i="32"/>
  <c r="H30" i="32"/>
  <c r="H31" i="32" s="1"/>
  <c r="M12" i="35" l="1"/>
  <c r="N14" i="55" s="1"/>
  <c r="N89" i="55" s="1"/>
  <c r="I31" i="32"/>
  <c r="N64" i="55" l="1"/>
  <c r="N12" i="35"/>
  <c r="O14" i="55" s="1"/>
  <c r="Z14" i="32"/>
  <c r="I21" i="30"/>
  <c r="J21" i="30"/>
  <c r="K21" i="30"/>
  <c r="L21" i="30"/>
  <c r="M21" i="30"/>
  <c r="H21" i="30"/>
  <c r="I20" i="30"/>
  <c r="J20" i="30"/>
  <c r="K20" i="30"/>
  <c r="L20" i="30"/>
  <c r="M20" i="30"/>
  <c r="H20" i="30"/>
  <c r="I19" i="30"/>
  <c r="J19" i="30"/>
  <c r="K19" i="30"/>
  <c r="L19" i="30"/>
  <c r="M19" i="30"/>
  <c r="H19" i="30"/>
  <c r="I14" i="30"/>
  <c r="J14" i="30"/>
  <c r="K14" i="30"/>
  <c r="L14" i="30"/>
  <c r="M14" i="30"/>
  <c r="H14" i="30"/>
  <c r="I18" i="30"/>
  <c r="J18" i="30"/>
  <c r="K18" i="30"/>
  <c r="L18" i="30"/>
  <c r="M18" i="30"/>
  <c r="H18" i="30"/>
  <c r="I17" i="30"/>
  <c r="J17" i="30"/>
  <c r="K17" i="30"/>
  <c r="L17" i="30"/>
  <c r="M17" i="30"/>
  <c r="H17" i="30"/>
  <c r="I16" i="30"/>
  <c r="J16" i="30"/>
  <c r="K16" i="30"/>
  <c r="L16" i="30"/>
  <c r="M16" i="30"/>
  <c r="H16" i="30"/>
  <c r="K11" i="30"/>
  <c r="K44" i="30" s="1"/>
  <c r="L11" i="30"/>
  <c r="L44" i="30" s="1"/>
  <c r="M11" i="30"/>
  <c r="M44" i="30" s="1"/>
  <c r="J11" i="30"/>
  <c r="J44" i="30" s="1"/>
  <c r="I11" i="30"/>
  <c r="I44" i="30" s="1"/>
  <c r="H11" i="30"/>
  <c r="O89" i="55" l="1"/>
  <c r="O64" i="55"/>
  <c r="O12" i="35"/>
  <c r="P14" i="55" s="1"/>
  <c r="AA14" i="32"/>
  <c r="H44" i="30"/>
  <c r="AC12" i="30"/>
  <c r="AC11" i="30" s="1"/>
  <c r="AB12" i="30"/>
  <c r="AB11" i="30" s="1"/>
  <c r="Z12" i="30"/>
  <c r="Z11" i="30" s="1"/>
  <c r="AA12" i="30"/>
  <c r="AA11" i="30" s="1"/>
  <c r="L15" i="30"/>
  <c r="J15" i="30"/>
  <c r="I15" i="30"/>
  <c r="K13" i="30"/>
  <c r="K15" i="30"/>
  <c r="H13" i="30"/>
  <c r="H15" i="30"/>
  <c r="M15" i="30"/>
  <c r="J13" i="30"/>
  <c r="M13" i="30"/>
  <c r="L13" i="30"/>
  <c r="O17" i="30"/>
  <c r="I13" i="30"/>
  <c r="I12" i="30" s="1"/>
  <c r="R12" i="30"/>
  <c r="W12" i="30"/>
  <c r="W11" i="30" s="1"/>
  <c r="S12" i="30"/>
  <c r="T12" i="30"/>
  <c r="O12" i="30"/>
  <c r="Y12" i="30"/>
  <c r="Y11" i="30" s="1"/>
  <c r="U12" i="30"/>
  <c r="V12" i="30"/>
  <c r="V11" i="30" s="1"/>
  <c r="P12" i="30"/>
  <c r="X12" i="30"/>
  <c r="X11" i="30" s="1"/>
  <c r="Q12" i="30"/>
  <c r="J9" i="29"/>
  <c r="J11" i="29" s="1"/>
  <c r="J15" i="32" s="1"/>
  <c r="K9" i="29"/>
  <c r="K11" i="29" s="1"/>
  <c r="K15" i="32" s="1"/>
  <c r="L9" i="29"/>
  <c r="L11" i="29" s="1"/>
  <c r="L15" i="32" s="1"/>
  <c r="M9" i="29"/>
  <c r="M10" i="29" s="1"/>
  <c r="P64" i="55" l="1"/>
  <c r="P89" i="55"/>
  <c r="AA44" i="30"/>
  <c r="O6" i="35" s="1"/>
  <c r="P8" i="55" s="1"/>
  <c r="V44" i="30"/>
  <c r="J6" i="35" s="1"/>
  <c r="K8" i="55" s="1"/>
  <c r="W44" i="30"/>
  <c r="K6" i="35" s="1"/>
  <c r="L8" i="55" s="1"/>
  <c r="AC44" i="30"/>
  <c r="Q6" i="35" s="1"/>
  <c r="R8" i="55" s="1"/>
  <c r="X44" i="30"/>
  <c r="L6" i="35" s="1"/>
  <c r="M8" i="55" s="1"/>
  <c r="M83" i="55" s="1"/>
  <c r="Z44" i="30"/>
  <c r="N6" i="35" s="1"/>
  <c r="O8" i="55" s="1"/>
  <c r="AB44" i="30"/>
  <c r="P6" i="35" s="1"/>
  <c r="Q8" i="55" s="1"/>
  <c r="Y44" i="30"/>
  <c r="M6" i="35" s="1"/>
  <c r="N8" i="55" s="1"/>
  <c r="P12" i="35"/>
  <c r="Q14" i="55" s="1"/>
  <c r="AB14" i="32"/>
  <c r="Q12" i="35"/>
  <c r="R14" i="55" s="1"/>
  <c r="AC14" i="32"/>
  <c r="N15" i="32"/>
  <c r="K12" i="30"/>
  <c r="L12" i="30"/>
  <c r="J12" i="30"/>
  <c r="M12" i="30"/>
  <c r="Q11" i="30"/>
  <c r="T11" i="30"/>
  <c r="P11" i="30"/>
  <c r="S11" i="30"/>
  <c r="R11" i="30"/>
  <c r="M15" i="32"/>
  <c r="U11" i="30"/>
  <c r="L24" i="26"/>
  <c r="C53" i="26"/>
  <c r="K24" i="26"/>
  <c r="M24" i="26"/>
  <c r="N24" i="26"/>
  <c r="O24" i="26"/>
  <c r="P24" i="26"/>
  <c r="Y28" i="26"/>
  <c r="C45" i="26"/>
  <c r="J25" i="26" s="1"/>
  <c r="AD25" i="26" s="1"/>
  <c r="F6" i="27"/>
  <c r="C60" i="26" s="1"/>
  <c r="P31" i="26" s="1"/>
  <c r="F9" i="27"/>
  <c r="C61" i="26" s="1"/>
  <c r="N32" i="26" s="1"/>
  <c r="F8" i="27"/>
  <c r="C62" i="26" s="1"/>
  <c r="R33" i="26" s="1"/>
  <c r="F17" i="27"/>
  <c r="F16" i="27"/>
  <c r="F11" i="27"/>
  <c r="F12" i="27"/>
  <c r="F13" i="27"/>
  <c r="F14" i="27"/>
  <c r="F15" i="27"/>
  <c r="I9" i="26"/>
  <c r="J9" i="26"/>
  <c r="K9" i="26"/>
  <c r="L9" i="26"/>
  <c r="M9" i="26"/>
  <c r="H9" i="26"/>
  <c r="F7" i="27"/>
  <c r="F5" i="27"/>
  <c r="C59" i="26" s="1"/>
  <c r="R89" i="55" l="1"/>
  <c r="R64" i="55"/>
  <c r="Q64" i="55"/>
  <c r="Q89" i="55"/>
  <c r="O83" i="55"/>
  <c r="O58" i="55"/>
  <c r="P44" i="30"/>
  <c r="D6" i="35" s="1"/>
  <c r="E8" i="55" s="1"/>
  <c r="R83" i="55"/>
  <c r="R58" i="55"/>
  <c r="Q58" i="55"/>
  <c r="Q83" i="55"/>
  <c r="P83" i="55"/>
  <c r="P58" i="55"/>
  <c r="M30" i="26"/>
  <c r="N30" i="26"/>
  <c r="M58" i="55"/>
  <c r="L83" i="55"/>
  <c r="L58" i="55"/>
  <c r="N83" i="55"/>
  <c r="N58" i="55"/>
  <c r="K83" i="55"/>
  <c r="K58" i="55"/>
  <c r="T44" i="30"/>
  <c r="H6" i="35" s="1"/>
  <c r="I8" i="55" s="1"/>
  <c r="U44" i="30"/>
  <c r="I6" i="35" s="1"/>
  <c r="J8" i="55" s="1"/>
  <c r="Q44" i="30"/>
  <c r="E6" i="35" s="1"/>
  <c r="F8" i="55" s="1"/>
  <c r="R44" i="30"/>
  <c r="F6" i="35" s="1"/>
  <c r="G8" i="55" s="1"/>
  <c r="S44" i="30"/>
  <c r="G6" i="35" s="1"/>
  <c r="H8" i="55" s="1"/>
  <c r="O28" i="30"/>
  <c r="N28" i="30"/>
  <c r="N32" i="30"/>
  <c r="O32" i="30"/>
  <c r="O25" i="30" s="1"/>
  <c r="N16" i="48"/>
  <c r="J24" i="26"/>
  <c r="AD24" i="26" s="1"/>
  <c r="AE12" i="26"/>
  <c r="X34" i="26"/>
  <c r="U33" i="26"/>
  <c r="T33" i="26"/>
  <c r="M32" i="26"/>
  <c r="X32" i="26"/>
  <c r="V31" i="26"/>
  <c r="W32" i="26"/>
  <c r="T34" i="26"/>
  <c r="U31" i="26"/>
  <c r="P32" i="26"/>
  <c r="S34" i="26"/>
  <c r="T31" i="26"/>
  <c r="O32" i="26"/>
  <c r="V33" i="26"/>
  <c r="Y34" i="26"/>
  <c r="S31" i="26"/>
  <c r="S33" i="26"/>
  <c r="U32" i="26"/>
  <c r="R34" i="26"/>
  <c r="R31" i="26"/>
  <c r="Q33" i="26"/>
  <c r="T32" i="26"/>
  <c r="W34" i="26"/>
  <c r="O34" i="26"/>
  <c r="M31" i="26"/>
  <c r="M33" i="26"/>
  <c r="P33" i="26"/>
  <c r="S32" i="26"/>
  <c r="V34" i="26"/>
  <c r="N31" i="26"/>
  <c r="X33" i="26"/>
  <c r="O33" i="26"/>
  <c r="R32" i="26"/>
  <c r="R16" i="26" s="1"/>
  <c r="U34" i="26"/>
  <c r="W31" i="26"/>
  <c r="W33" i="26"/>
  <c r="N33" i="26"/>
  <c r="N16" i="26" s="1"/>
  <c r="Q32" i="26"/>
  <c r="P34" i="26"/>
  <c r="O31" i="26"/>
  <c r="Q31" i="26"/>
  <c r="X31" i="26"/>
  <c r="V32" i="26"/>
  <c r="C58" i="26"/>
  <c r="C48" i="26" s="1"/>
  <c r="M29" i="26" s="1"/>
  <c r="I11" i="26"/>
  <c r="I20" i="26" s="1"/>
  <c r="I79" i="26" s="1"/>
  <c r="J11" i="26"/>
  <c r="L11" i="26"/>
  <c r="K11" i="26"/>
  <c r="M11" i="26"/>
  <c r="H11" i="26"/>
  <c r="N27" i="30" l="1"/>
  <c r="E83" i="55"/>
  <c r="E58" i="55"/>
  <c r="AD30" i="26"/>
  <c r="I83" i="55"/>
  <c r="I58" i="55"/>
  <c r="H83" i="55"/>
  <c r="H58" i="55"/>
  <c r="J83" i="55"/>
  <c r="J58" i="55"/>
  <c r="G83" i="55"/>
  <c r="G58" i="55"/>
  <c r="F83" i="55"/>
  <c r="F58" i="55"/>
  <c r="M16" i="26"/>
  <c r="O16" i="26"/>
  <c r="O78" i="26" s="1"/>
  <c r="X16" i="26"/>
  <c r="X78" i="26" s="1"/>
  <c r="S16" i="26"/>
  <c r="S78" i="26" s="1"/>
  <c r="P16" i="26"/>
  <c r="P78" i="26" s="1"/>
  <c r="Q16" i="26"/>
  <c r="Q78" i="26" s="1"/>
  <c r="V16" i="26"/>
  <c r="V78" i="26" s="1"/>
  <c r="W16" i="26"/>
  <c r="W78" i="26" s="1"/>
  <c r="AE13" i="26"/>
  <c r="T16" i="26"/>
  <c r="T78" i="26" s="1"/>
  <c r="U16" i="26"/>
  <c r="U78" i="26" s="1"/>
  <c r="O18" i="30"/>
  <c r="O27" i="30"/>
  <c r="O16" i="48"/>
  <c r="M77" i="26"/>
  <c r="AD32" i="26"/>
  <c r="AD33" i="26"/>
  <c r="AD31" i="26"/>
  <c r="AE14" i="26" s="1"/>
  <c r="N78" i="26"/>
  <c r="M15" i="26"/>
  <c r="R78" i="26"/>
  <c r="H20" i="26"/>
  <c r="H79" i="26" s="1"/>
  <c r="M28" i="26"/>
  <c r="N29" i="26"/>
  <c r="N77" i="26" s="1"/>
  <c r="C57" i="26"/>
  <c r="C20" i="35" l="1"/>
  <c r="D22" i="55" s="1"/>
  <c r="D97" i="55" s="1"/>
  <c r="P16" i="48"/>
  <c r="D20" i="35" s="1"/>
  <c r="E22" i="55" s="1"/>
  <c r="E97" i="55" s="1"/>
  <c r="O15" i="30"/>
  <c r="AE16" i="26"/>
  <c r="AD16" i="26"/>
  <c r="M78" i="26"/>
  <c r="N15" i="26"/>
  <c r="N20" i="26" s="1"/>
  <c r="O29" i="26"/>
  <c r="O77" i="26" s="1"/>
  <c r="N28" i="26"/>
  <c r="D72" i="55" l="1"/>
  <c r="E72" i="55"/>
  <c r="Q16" i="48"/>
  <c r="E20" i="35" s="1"/>
  <c r="F22" i="55" s="1"/>
  <c r="F97" i="55" s="1"/>
  <c r="O15" i="26"/>
  <c r="P29" i="26"/>
  <c r="P77" i="26" s="1"/>
  <c r="O28" i="26"/>
  <c r="F72" i="55" l="1"/>
  <c r="R16" i="48"/>
  <c r="F20" i="35" s="1"/>
  <c r="G22" i="55" s="1"/>
  <c r="G97" i="55" s="1"/>
  <c r="P15" i="26"/>
  <c r="Q29" i="26"/>
  <c r="Q77" i="26" s="1"/>
  <c r="P28" i="26"/>
  <c r="G72" i="55" l="1"/>
  <c r="S16" i="48"/>
  <c r="G20" i="35" s="1"/>
  <c r="H22" i="55" s="1"/>
  <c r="H97" i="55" s="1"/>
  <c r="Q15" i="26"/>
  <c r="R29" i="26"/>
  <c r="R77" i="26" s="1"/>
  <c r="Q28" i="26"/>
  <c r="H72" i="55" l="1"/>
  <c r="T16" i="48"/>
  <c r="H20" i="35" s="1"/>
  <c r="I22" i="55" s="1"/>
  <c r="I97" i="55" s="1"/>
  <c r="R15" i="26"/>
  <c r="S29" i="26"/>
  <c r="S77" i="26" s="1"/>
  <c r="R28" i="26"/>
  <c r="I72" i="55" l="1"/>
  <c r="U16" i="48"/>
  <c r="I20" i="35" s="1"/>
  <c r="J22" i="55" s="1"/>
  <c r="J97" i="55" s="1"/>
  <c r="S15" i="26"/>
  <c r="T29" i="26"/>
  <c r="T77" i="26" s="1"/>
  <c r="S28" i="26"/>
  <c r="J72" i="55" l="1"/>
  <c r="V16" i="48"/>
  <c r="J20" i="35" s="1"/>
  <c r="K22" i="55" s="1"/>
  <c r="K97" i="55" s="1"/>
  <c r="T15" i="26"/>
  <c r="U29" i="26"/>
  <c r="U77" i="26" s="1"/>
  <c r="T28" i="26"/>
  <c r="K72" i="55" l="1"/>
  <c r="W16" i="48"/>
  <c r="K20" i="35" s="1"/>
  <c r="L22" i="55" s="1"/>
  <c r="L97" i="55" s="1"/>
  <c r="U15" i="26"/>
  <c r="V29" i="26"/>
  <c r="V77" i="26" s="1"/>
  <c r="U28" i="26"/>
  <c r="Y16" i="48" l="1"/>
  <c r="M20" i="35" s="1"/>
  <c r="N22" i="55" s="1"/>
  <c r="N97" i="55" s="1"/>
  <c r="L72" i="55"/>
  <c r="X16" i="48"/>
  <c r="L20" i="35" s="1"/>
  <c r="M22" i="55" s="1"/>
  <c r="M97" i="55" s="1"/>
  <c r="V15" i="26"/>
  <c r="W29" i="26"/>
  <c r="W77" i="26" s="1"/>
  <c r="V28" i="26"/>
  <c r="Z16" i="48" l="1"/>
  <c r="N20" i="35" s="1"/>
  <c r="O22" i="55" s="1"/>
  <c r="M72" i="55"/>
  <c r="N72" i="55"/>
  <c r="W15" i="26"/>
  <c r="X29" i="26"/>
  <c r="W28" i="26"/>
  <c r="O97" i="55" l="1"/>
  <c r="O72" i="55"/>
  <c r="AA16" i="48"/>
  <c r="O20" i="35" s="1"/>
  <c r="P22" i="55" s="1"/>
  <c r="X77" i="26"/>
  <c r="AD29" i="26"/>
  <c r="AE15" i="26" s="1"/>
  <c r="X15" i="26"/>
  <c r="AD15" i="26" s="1"/>
  <c r="X28" i="26"/>
  <c r="AD28" i="26" s="1"/>
  <c r="P97" i="55" l="1"/>
  <c r="P72" i="55"/>
  <c r="AB16" i="48"/>
  <c r="P20" i="35" s="1"/>
  <c r="Q22" i="55" s="1"/>
  <c r="AC16" i="48"/>
  <c r="Q20" i="35" s="1"/>
  <c r="R22" i="55" s="1"/>
  <c r="D48" i="26"/>
  <c r="R72" i="55" l="1"/>
  <c r="R97" i="55"/>
  <c r="Q97" i="55"/>
  <c r="Q72" i="55"/>
  <c r="E48" i="26"/>
  <c r="B3" i="27" l="1"/>
  <c r="N13" i="25" l="1"/>
  <c r="N20" i="25" s="1"/>
  <c r="J14" i="26"/>
  <c r="K14" i="26"/>
  <c r="K76" i="26" s="1"/>
  <c r="L14" i="26"/>
  <c r="L76" i="26" s="1"/>
  <c r="M14" i="26"/>
  <c r="M76" i="26" s="1"/>
  <c r="J13" i="26"/>
  <c r="J81" i="26" s="1"/>
  <c r="K13" i="26"/>
  <c r="K81" i="26" s="1"/>
  <c r="L13" i="26"/>
  <c r="L81" i="26" s="1"/>
  <c r="M13" i="26"/>
  <c r="M81" i="26" s="1"/>
  <c r="O20" i="25" l="1"/>
  <c r="C9" i="35" s="1"/>
  <c r="AD12" i="26"/>
  <c r="AD14" i="26"/>
  <c r="J76" i="26"/>
  <c r="AD13" i="26"/>
  <c r="L20" i="26"/>
  <c r="L79" i="26" s="1"/>
  <c r="K20" i="26"/>
  <c r="K79" i="26" s="1"/>
  <c r="M20" i="26"/>
  <c r="M79" i="26" s="1"/>
  <c r="J20" i="26"/>
  <c r="J79" i="26" s="1"/>
  <c r="D46" i="26"/>
  <c r="D45" i="26"/>
  <c r="D47" i="26"/>
  <c r="M74" i="26" l="1"/>
  <c r="J74" i="26"/>
  <c r="I74" i="26"/>
  <c r="I47" i="20" s="1"/>
  <c r="H74" i="26"/>
  <c r="H47" i="20" s="1"/>
  <c r="K74" i="26"/>
  <c r="L74" i="26"/>
  <c r="E45" i="26"/>
  <c r="D44" i="26"/>
  <c r="I25" i="20"/>
  <c r="J25" i="20"/>
  <c r="K25" i="20"/>
  <c r="L25" i="20"/>
  <c r="M25" i="20"/>
  <c r="H25" i="20"/>
  <c r="I46" i="20"/>
  <c r="J46" i="20"/>
  <c r="K46" i="20"/>
  <c r="L46" i="20"/>
  <c r="H46" i="20"/>
  <c r="J47" i="20" l="1"/>
  <c r="J48" i="20" s="1"/>
  <c r="AQ62" i="20" s="1"/>
  <c r="C2" i="50"/>
  <c r="L47" i="20"/>
  <c r="L48" i="20" s="1"/>
  <c r="AS62" i="20" s="1"/>
  <c r="E2" i="50"/>
  <c r="M47" i="20"/>
  <c r="F2" i="50"/>
  <c r="K47" i="20"/>
  <c r="K48" i="20" s="1"/>
  <c r="AR62" i="20" s="1"/>
  <c r="D2" i="50"/>
  <c r="O46" i="20"/>
  <c r="H48" i="20"/>
  <c r="AO62" i="20" s="1"/>
  <c r="I48" i="20"/>
  <c r="AP62" i="20" s="1"/>
  <c r="H27" i="20"/>
  <c r="M27" i="20"/>
  <c r="L27" i="20"/>
  <c r="K27" i="20"/>
  <c r="J27" i="20"/>
  <c r="I27" i="20"/>
  <c r="M46" i="20"/>
  <c r="N46" i="20"/>
  <c r="O27" i="20"/>
  <c r="C5" i="35" s="1"/>
  <c r="M48" i="20" l="1"/>
  <c r="AO61" i="20"/>
  <c r="AS61" i="20"/>
  <c r="AQ61" i="20"/>
  <c r="AP61" i="20"/>
  <c r="AR61" i="20"/>
  <c r="P27" i="20"/>
  <c r="D7" i="55"/>
  <c r="D82" i="55" s="1"/>
  <c r="D5" i="55"/>
  <c r="D80" i="55" s="1"/>
  <c r="K28" i="20"/>
  <c r="L28" i="20"/>
  <c r="L29" i="20" s="1"/>
  <c r="I28" i="20"/>
  <c r="AR60" i="20"/>
  <c r="AP60" i="20"/>
  <c r="AS60" i="20"/>
  <c r="J28" i="20"/>
  <c r="H28" i="20"/>
  <c r="H29" i="20" s="1"/>
  <c r="AO60" i="20"/>
  <c r="AQ60" i="20"/>
  <c r="I13" i="20"/>
  <c r="I14" i="20" s="1"/>
  <c r="J13" i="20"/>
  <c r="J14" i="20" s="1"/>
  <c r="K13" i="20"/>
  <c r="K14" i="20" s="1"/>
  <c r="L13" i="20"/>
  <c r="L14" i="20" s="1"/>
  <c r="H13" i="20"/>
  <c r="H14" i="20" s="1"/>
  <c r="J29" i="20" l="1"/>
  <c r="C19" i="6" s="1"/>
  <c r="I29" i="20"/>
  <c r="K29" i="20"/>
  <c r="D57" i="55"/>
  <c r="D55" i="55"/>
  <c r="M28" i="20"/>
  <c r="M29" i="20" s="1"/>
  <c r="AT62" i="20"/>
  <c r="AT60" i="20"/>
  <c r="AT61" i="20"/>
  <c r="M13" i="20"/>
  <c r="M14" i="20" s="1"/>
  <c r="Q27" i="20"/>
  <c r="D5" i="35"/>
  <c r="E7" i="55" s="1"/>
  <c r="E82" i="55" s="1"/>
  <c r="D3" i="35"/>
  <c r="E5" i="55" s="1"/>
  <c r="E80" i="55" s="1"/>
  <c r="P46" i="20"/>
  <c r="I20" i="25"/>
  <c r="H13" i="32"/>
  <c r="M13" i="25"/>
  <c r="M20" i="25" s="1"/>
  <c r="L13" i="25"/>
  <c r="L20" i="25" s="1"/>
  <c r="K13" i="25"/>
  <c r="K20" i="25" s="1"/>
  <c r="J13" i="25"/>
  <c r="J20" i="25" s="1"/>
  <c r="I13" i="25"/>
  <c r="H13" i="25"/>
  <c r="O12" i="25"/>
  <c r="O14" i="25" s="1"/>
  <c r="O13" i="25" s="1"/>
  <c r="B19" i="6" l="1"/>
  <c r="E57" i="55"/>
  <c r="E55" i="55"/>
  <c r="H49" i="32"/>
  <c r="H51" i="32" s="1"/>
  <c r="H52" i="32"/>
  <c r="R27" i="20"/>
  <c r="E5" i="35"/>
  <c r="F7" i="55" s="1"/>
  <c r="F82" i="55" s="1"/>
  <c r="E3" i="35"/>
  <c r="F5" i="55" s="1"/>
  <c r="F80" i="55" s="1"/>
  <c r="Q46" i="20"/>
  <c r="J19" i="25"/>
  <c r="J13" i="32" s="1"/>
  <c r="J49" i="32" s="1"/>
  <c r="J51" i="32" s="1"/>
  <c r="K19" i="25"/>
  <c r="K13" i="32" s="1"/>
  <c r="K49" i="32" s="1"/>
  <c r="K51" i="32" s="1"/>
  <c r="L19" i="25"/>
  <c r="L13" i="32" s="1"/>
  <c r="L49" i="32" s="1"/>
  <c r="L51" i="32" s="1"/>
  <c r="I19" i="25"/>
  <c r="I13" i="32" s="1"/>
  <c r="P14" i="25"/>
  <c r="P13" i="25" s="1"/>
  <c r="M19" i="25"/>
  <c r="M13" i="32" s="1"/>
  <c r="M49" i="32" s="1"/>
  <c r="M51" i="32" s="1"/>
  <c r="F57" i="55" l="1"/>
  <c r="F55" i="55"/>
  <c r="H54" i="32"/>
  <c r="H20" i="32" s="1"/>
  <c r="H21" i="32" s="1"/>
  <c r="H22" i="32" s="1"/>
  <c r="I49" i="32"/>
  <c r="I51" i="32" s="1"/>
  <c r="I52" i="32"/>
  <c r="J52" i="32" s="1"/>
  <c r="K52" i="32" s="1"/>
  <c r="L52" i="32" s="1"/>
  <c r="M52" i="32" s="1"/>
  <c r="N52" i="32" s="1"/>
  <c r="S27" i="20"/>
  <c r="F5" i="35"/>
  <c r="G7" i="55" s="1"/>
  <c r="G82" i="55" s="1"/>
  <c r="F3" i="35"/>
  <c r="G5" i="55" s="1"/>
  <c r="G80" i="55" s="1"/>
  <c r="R46" i="20"/>
  <c r="D6" i="55"/>
  <c r="D81" i="55" s="1"/>
  <c r="D11" i="55"/>
  <c r="D86" i="55" s="1"/>
  <c r="Q12" i="25"/>
  <c r="Q14" i="25" s="1"/>
  <c r="Q13" i="25" s="1"/>
  <c r="D61" i="55" l="1"/>
  <c r="D56" i="55"/>
  <c r="G57" i="55"/>
  <c r="G55" i="55"/>
  <c r="N19" i="25"/>
  <c r="M54" i="32"/>
  <c r="M20" i="32" s="1"/>
  <c r="M21" i="32" s="1"/>
  <c r="I54" i="32"/>
  <c r="I20" i="32" s="1"/>
  <c r="I21" i="32" s="1"/>
  <c r="I22" i="32" s="1"/>
  <c r="K54" i="32"/>
  <c r="K20" i="32" s="1"/>
  <c r="K21" i="32" s="1"/>
  <c r="K22" i="32" s="1"/>
  <c r="J54" i="32"/>
  <c r="J20" i="32" s="1"/>
  <c r="J21" i="32" s="1"/>
  <c r="J22" i="32" s="1"/>
  <c r="L54" i="32"/>
  <c r="L20" i="32" s="1"/>
  <c r="L21" i="32" s="1"/>
  <c r="L22" i="32" s="1"/>
  <c r="T27" i="20"/>
  <c r="G5" i="35"/>
  <c r="H7" i="55" s="1"/>
  <c r="H82" i="55" s="1"/>
  <c r="G3" i="35"/>
  <c r="H5" i="55" s="1"/>
  <c r="H80" i="55" s="1"/>
  <c r="S46" i="20"/>
  <c r="O11" i="25"/>
  <c r="D4" i="35"/>
  <c r="E6" i="55" s="1"/>
  <c r="E81" i="55" s="1"/>
  <c r="P20" i="25"/>
  <c r="D9" i="35" s="1"/>
  <c r="E11" i="55" s="1"/>
  <c r="E86" i="55" s="1"/>
  <c r="R12" i="25"/>
  <c r="R14" i="25" s="1"/>
  <c r="R13" i="25" s="1"/>
  <c r="O19" i="25" l="1"/>
  <c r="C8" i="35" s="1"/>
  <c r="J33" i="52"/>
  <c r="N13" i="32"/>
  <c r="N49" i="32" s="1"/>
  <c r="M22" i="32"/>
  <c r="Q21" i="32"/>
  <c r="Q22" i="32" s="1"/>
  <c r="E17" i="35" s="1"/>
  <c r="F19" i="55" s="1"/>
  <c r="F94" i="55" s="1"/>
  <c r="E61" i="55"/>
  <c r="E56" i="55"/>
  <c r="H57" i="55"/>
  <c r="H55" i="55"/>
  <c r="O13" i="32"/>
  <c r="U27" i="20"/>
  <c r="H5" i="35"/>
  <c r="I7" i="55" s="1"/>
  <c r="I82" i="55" s="1"/>
  <c r="H3" i="35"/>
  <c r="I5" i="55" s="1"/>
  <c r="I80" i="55" s="1"/>
  <c r="T46" i="20"/>
  <c r="D10" i="55"/>
  <c r="D85" i="55" s="1"/>
  <c r="E4" i="35"/>
  <c r="F6" i="55" s="1"/>
  <c r="F81" i="55" s="1"/>
  <c r="Q20" i="25"/>
  <c r="E9" i="35" s="1"/>
  <c r="F11" i="55" s="1"/>
  <c r="F86" i="55" s="1"/>
  <c r="P11" i="25"/>
  <c r="P19" i="25" s="1"/>
  <c r="S12" i="25"/>
  <c r="S14" i="25" s="1"/>
  <c r="S13" i="25" s="1"/>
  <c r="F61" i="55" l="1"/>
  <c r="F69" i="55"/>
  <c r="D60" i="55"/>
  <c r="F56" i="55"/>
  <c r="I57" i="55"/>
  <c r="I55" i="55"/>
  <c r="R21" i="32"/>
  <c r="R22" i="32" s="1"/>
  <c r="F17" i="35" s="1"/>
  <c r="G19" i="55" s="1"/>
  <c r="G94" i="55" s="1"/>
  <c r="U21" i="32"/>
  <c r="Y21" i="32" s="1"/>
  <c r="Z21" i="32" s="1"/>
  <c r="I5" i="35"/>
  <c r="J7" i="55" s="1"/>
  <c r="J82" i="55" s="1"/>
  <c r="V27" i="20"/>
  <c r="I3" i="35"/>
  <c r="J5" i="55" s="1"/>
  <c r="J80" i="55" s="1"/>
  <c r="U46" i="20"/>
  <c r="F4" i="35"/>
  <c r="G6" i="55" s="1"/>
  <c r="G81" i="55" s="1"/>
  <c r="P13" i="32"/>
  <c r="P49" i="32" s="1"/>
  <c r="D8" i="35"/>
  <c r="E10" i="55" s="1"/>
  <c r="E85" i="55" s="1"/>
  <c r="R20" i="25"/>
  <c r="F9" i="35" s="1"/>
  <c r="G11" i="55" s="1"/>
  <c r="G86" i="55" s="1"/>
  <c r="Q11" i="25"/>
  <c r="Q19" i="25" s="1"/>
  <c r="T12" i="25"/>
  <c r="T14" i="25" s="1"/>
  <c r="T13" i="25" s="1"/>
  <c r="AA21" i="32" l="1"/>
  <c r="Z22" i="32"/>
  <c r="N17" i="35" s="1"/>
  <c r="O19" i="55" s="1"/>
  <c r="E60" i="55"/>
  <c r="G69" i="55"/>
  <c r="G61" i="55"/>
  <c r="G56" i="55"/>
  <c r="J57" i="55"/>
  <c r="J55" i="55"/>
  <c r="Y22" i="32"/>
  <c r="M17" i="35" s="1"/>
  <c r="N19" i="55" s="1"/>
  <c r="N94" i="55" s="1"/>
  <c r="U22" i="32"/>
  <c r="I17" i="35" s="1"/>
  <c r="J19" i="55" s="1"/>
  <c r="J94" i="55" s="1"/>
  <c r="V21" i="32"/>
  <c r="V22" i="32" s="1"/>
  <c r="J17" i="35" s="1"/>
  <c r="K19" i="55" s="1"/>
  <c r="K94" i="55" s="1"/>
  <c r="S21" i="32"/>
  <c r="S22" i="32" s="1"/>
  <c r="G17" i="35" s="1"/>
  <c r="H19" i="55" s="1"/>
  <c r="H94" i="55" s="1"/>
  <c r="W27" i="20"/>
  <c r="J5" i="35"/>
  <c r="K7" i="55" s="1"/>
  <c r="K82" i="55" s="1"/>
  <c r="J3" i="35"/>
  <c r="K5" i="55" s="1"/>
  <c r="K80" i="55" s="1"/>
  <c r="V46" i="20"/>
  <c r="Q13" i="32"/>
  <c r="Q49" i="32" s="1"/>
  <c r="E8" i="35"/>
  <c r="F10" i="55" s="1"/>
  <c r="F85" i="55" s="1"/>
  <c r="G4" i="35"/>
  <c r="H6" i="55" s="1"/>
  <c r="H81" i="55" s="1"/>
  <c r="S20" i="25"/>
  <c r="G9" i="35" s="1"/>
  <c r="H11" i="55" s="1"/>
  <c r="H86" i="55" s="1"/>
  <c r="R11" i="25"/>
  <c r="R19" i="25" s="1"/>
  <c r="U12" i="25"/>
  <c r="O69" i="55" l="1"/>
  <c r="O94" i="55"/>
  <c r="AB21" i="32"/>
  <c r="AA22" i="32"/>
  <c r="O17" i="35" s="1"/>
  <c r="P19" i="55" s="1"/>
  <c r="J69" i="55"/>
  <c r="N69" i="55"/>
  <c r="K69" i="55"/>
  <c r="H69" i="55"/>
  <c r="H61" i="55"/>
  <c r="F60" i="55"/>
  <c r="K57" i="55"/>
  <c r="H56" i="55"/>
  <c r="K55" i="55"/>
  <c r="T21" i="32"/>
  <c r="T22" i="32" s="1"/>
  <c r="H17" i="35" s="1"/>
  <c r="I19" i="55" s="1"/>
  <c r="I94" i="55" s="1"/>
  <c r="W21" i="32"/>
  <c r="K5" i="35"/>
  <c r="L7" i="55" s="1"/>
  <c r="L82" i="55" s="1"/>
  <c r="X27" i="20"/>
  <c r="K3" i="35"/>
  <c r="L5" i="55" s="1"/>
  <c r="L80" i="55" s="1"/>
  <c r="W46" i="20"/>
  <c r="U14" i="25"/>
  <c r="U13" i="25" s="1"/>
  <c r="V12" i="25"/>
  <c r="Q12" i="32"/>
  <c r="Q50" i="32" s="1"/>
  <c r="R13" i="32"/>
  <c r="R49" i="32" s="1"/>
  <c r="F8" i="35"/>
  <c r="G10" i="55" s="1"/>
  <c r="G85" i="55" s="1"/>
  <c r="H4" i="35"/>
  <c r="I6" i="55" s="1"/>
  <c r="I81" i="55" s="1"/>
  <c r="T20" i="25"/>
  <c r="H9" i="35" s="1"/>
  <c r="I11" i="55" s="1"/>
  <c r="I86" i="55" s="1"/>
  <c r="S11" i="25"/>
  <c r="S19" i="25" s="1"/>
  <c r="P94" i="55" l="1"/>
  <c r="P69" i="55"/>
  <c r="W22" i="32"/>
  <c r="K17" i="35" s="1"/>
  <c r="L19" i="55" s="1"/>
  <c r="L94" i="55" s="1"/>
  <c r="X21" i="32"/>
  <c r="X22" i="32" s="1"/>
  <c r="L17" i="35" s="1"/>
  <c r="M19" i="55" s="1"/>
  <c r="M94" i="55" s="1"/>
  <c r="AB22" i="32"/>
  <c r="P17" i="35" s="1"/>
  <c r="Q19" i="55" s="1"/>
  <c r="AC21" i="32"/>
  <c r="AC22" i="32" s="1"/>
  <c r="Q17" i="35" s="1"/>
  <c r="R19" i="55" s="1"/>
  <c r="I69" i="55"/>
  <c r="I61" i="55"/>
  <c r="G60" i="55"/>
  <c r="I56" i="55"/>
  <c r="L57" i="55"/>
  <c r="L55" i="55"/>
  <c r="L5" i="35"/>
  <c r="M7" i="55" s="1"/>
  <c r="M82" i="55" s="1"/>
  <c r="Y27" i="20"/>
  <c r="L3" i="35"/>
  <c r="M5" i="55" s="1"/>
  <c r="M80" i="55" s="1"/>
  <c r="X46" i="20"/>
  <c r="W12" i="25"/>
  <c r="V14" i="25"/>
  <c r="V13" i="25" s="1"/>
  <c r="R12" i="32"/>
  <c r="R50" i="32" s="1"/>
  <c r="S13" i="32"/>
  <c r="S49" i="32" s="1"/>
  <c r="G8" i="35"/>
  <c r="H10" i="55" s="1"/>
  <c r="H85" i="55" s="1"/>
  <c r="I4" i="35"/>
  <c r="J6" i="55" s="1"/>
  <c r="J81" i="55" s="1"/>
  <c r="U20" i="25"/>
  <c r="T11" i="25"/>
  <c r="T19" i="25" s="1"/>
  <c r="R94" i="55" l="1"/>
  <c r="R69" i="55"/>
  <c r="Q69" i="55"/>
  <c r="Q94" i="55"/>
  <c r="L69" i="55"/>
  <c r="M5" i="35"/>
  <c r="N7" i="55" s="1"/>
  <c r="N82" i="55" s="1"/>
  <c r="Z27" i="20"/>
  <c r="M69" i="55"/>
  <c r="H60" i="55"/>
  <c r="M57" i="55"/>
  <c r="J56" i="55"/>
  <c r="M55" i="55"/>
  <c r="M3" i="35"/>
  <c r="N5" i="55" s="1"/>
  <c r="N80" i="55" s="1"/>
  <c r="Y46" i="20"/>
  <c r="I9" i="35"/>
  <c r="J11" i="55" s="1"/>
  <c r="J86" i="55" s="1"/>
  <c r="V20" i="25"/>
  <c r="X12" i="25"/>
  <c r="W14" i="25"/>
  <c r="W13" i="25" s="1"/>
  <c r="T13" i="32"/>
  <c r="T49" i="32" s="1"/>
  <c r="H8" i="35"/>
  <c r="I10" i="55" s="1"/>
  <c r="I85" i="55" s="1"/>
  <c r="S12" i="32"/>
  <c r="S50" i="32" s="1"/>
  <c r="J4" i="35"/>
  <c r="K6" i="55" s="1"/>
  <c r="K81" i="55" s="1"/>
  <c r="U11" i="25"/>
  <c r="U19" i="25" s="1"/>
  <c r="BI16" i="5"/>
  <c r="BH16" i="5"/>
  <c r="BG16" i="5"/>
  <c r="BF16" i="5"/>
  <c r="BE16" i="5"/>
  <c r="BD16" i="5"/>
  <c r="BC16" i="5"/>
  <c r="BB16" i="5"/>
  <c r="AY16" i="5"/>
  <c r="BJ16" i="5"/>
  <c r="AO16" i="5"/>
  <c r="AX16" i="5"/>
  <c r="AS16" i="5"/>
  <c r="AW16" i="5"/>
  <c r="AR16" i="5"/>
  <c r="AQ16" i="5"/>
  <c r="AV16" i="5"/>
  <c r="AN16" i="5"/>
  <c r="C68" i="26" s="1"/>
  <c r="AM16" i="5"/>
  <c r="AL16" i="5"/>
  <c r="C65" i="26" s="1"/>
  <c r="C46" i="26" s="1"/>
  <c r="AU16" i="5"/>
  <c r="AK16" i="5"/>
  <c r="AP16" i="5"/>
  <c r="AJ16" i="5"/>
  <c r="AI16" i="5"/>
  <c r="AH16" i="5"/>
  <c r="AG16" i="5"/>
  <c r="AF16" i="5"/>
  <c r="AE16" i="5"/>
  <c r="AD16" i="5"/>
  <c r="AC16" i="5"/>
  <c r="AB16" i="5"/>
  <c r="AA16" i="5"/>
  <c r="Z16" i="5"/>
  <c r="Y16" i="5"/>
  <c r="X16" i="5"/>
  <c r="W16" i="5"/>
  <c r="V16" i="5"/>
  <c r="U16" i="5"/>
  <c r="T16" i="5"/>
  <c r="S16" i="5"/>
  <c r="R16" i="5"/>
  <c r="Q16" i="5"/>
  <c r="P16" i="5"/>
  <c r="O16" i="5"/>
  <c r="N57" i="55" l="1"/>
  <c r="AA27" i="20"/>
  <c r="N5" i="35"/>
  <c r="O7" i="55" s="1"/>
  <c r="I60" i="55"/>
  <c r="J61" i="55"/>
  <c r="K56" i="55"/>
  <c r="N55" i="55"/>
  <c r="M16" i="5"/>
  <c r="C67" i="26"/>
  <c r="C50" i="26" s="1"/>
  <c r="Y12" i="25"/>
  <c r="X14" i="25"/>
  <c r="X13" i="25" s="1"/>
  <c r="J9" i="35"/>
  <c r="K11" i="55" s="1"/>
  <c r="K86" i="55" s="1"/>
  <c r="W20" i="25"/>
  <c r="W11" i="25" s="1"/>
  <c r="W19" i="25" s="1"/>
  <c r="V11" i="25"/>
  <c r="V19" i="25" s="1"/>
  <c r="C66" i="26"/>
  <c r="C47" i="26" s="1"/>
  <c r="E47" i="26" s="1"/>
  <c r="N16" i="5"/>
  <c r="U13" i="32"/>
  <c r="U49" i="32" s="1"/>
  <c r="I8" i="35"/>
  <c r="J10" i="55" s="1"/>
  <c r="J85" i="55" s="1"/>
  <c r="K4" i="35"/>
  <c r="L6" i="55" s="1"/>
  <c r="L81" i="55" s="1"/>
  <c r="T12" i="32"/>
  <c r="T50" i="32" s="1"/>
  <c r="C64" i="26"/>
  <c r="N35" i="26" s="1"/>
  <c r="E46" i="26"/>
  <c r="O57" i="55" l="1"/>
  <c r="O82" i="55"/>
  <c r="AB27" i="20"/>
  <c r="O5" i="35"/>
  <c r="P7" i="55" s="1"/>
  <c r="Z12" i="25"/>
  <c r="Y14" i="25"/>
  <c r="K61" i="55"/>
  <c r="J60" i="55"/>
  <c r="L56" i="55"/>
  <c r="K8" i="35"/>
  <c r="L10" i="55" s="1"/>
  <c r="L85" i="55" s="1"/>
  <c r="V13" i="32"/>
  <c r="V49" i="32" s="1"/>
  <c r="X20" i="25"/>
  <c r="K9" i="35"/>
  <c r="L11" i="55" s="1"/>
  <c r="L86" i="55" s="1"/>
  <c r="W13" i="32"/>
  <c r="W49" i="32" s="1"/>
  <c r="Y13" i="25"/>
  <c r="L4" i="35"/>
  <c r="M6" i="55" s="1"/>
  <c r="M81" i="55" s="1"/>
  <c r="U12" i="32"/>
  <c r="U50" i="32" s="1"/>
  <c r="C49" i="26"/>
  <c r="C63" i="26"/>
  <c r="C52" i="26" s="1"/>
  <c r="Q35" i="26"/>
  <c r="P82" i="55" l="1"/>
  <c r="P57" i="55"/>
  <c r="P5" i="35"/>
  <c r="Q7" i="55" s="1"/>
  <c r="AC27" i="20"/>
  <c r="Z14" i="25"/>
  <c r="Z13" i="25" s="1"/>
  <c r="AA12" i="25"/>
  <c r="L60" i="55"/>
  <c r="L61" i="55"/>
  <c r="M56" i="55"/>
  <c r="M4" i="35"/>
  <c r="N6" i="55" s="1"/>
  <c r="N81" i="55" s="1"/>
  <c r="J8" i="35"/>
  <c r="K10" i="55" s="1"/>
  <c r="K85" i="55" s="1"/>
  <c r="AD35" i="26"/>
  <c r="AE19" i="26" s="1"/>
  <c r="Q19" i="26" s="1"/>
  <c r="Y20" i="25"/>
  <c r="Z20" i="25" s="1"/>
  <c r="L9" i="35"/>
  <c r="M11" i="55" s="1"/>
  <c r="M86" i="55" s="1"/>
  <c r="X11" i="25"/>
  <c r="X19" i="25" s="1"/>
  <c r="W12" i="32"/>
  <c r="W50" i="32" s="1"/>
  <c r="V12" i="32"/>
  <c r="V50" i="32" s="1"/>
  <c r="E49" i="26"/>
  <c r="E44" i="26" s="1"/>
  <c r="C44" i="26"/>
  <c r="Q34" i="26"/>
  <c r="N34" i="26"/>
  <c r="Q57" i="55" l="1"/>
  <c r="Q82" i="55"/>
  <c r="Q5" i="35"/>
  <c r="R7" i="55" s="1"/>
  <c r="Z11" i="25"/>
  <c r="Z19" i="25" s="1"/>
  <c r="N8" i="35" s="1"/>
  <c r="O10" i="55" s="1"/>
  <c r="AB12" i="25"/>
  <c r="AA14" i="25"/>
  <c r="AA13" i="25" s="1"/>
  <c r="AA20" i="25"/>
  <c r="O9" i="35" s="1"/>
  <c r="P11" i="55" s="1"/>
  <c r="Z13" i="32"/>
  <c r="N9" i="35"/>
  <c r="O11" i="55" s="1"/>
  <c r="K60" i="55"/>
  <c r="M61" i="55"/>
  <c r="N56" i="55"/>
  <c r="L8" i="35"/>
  <c r="M10" i="55" s="1"/>
  <c r="M85" i="55" s="1"/>
  <c r="AD34" i="26"/>
  <c r="M9" i="35"/>
  <c r="N11" i="55" s="1"/>
  <c r="N86" i="55" s="1"/>
  <c r="Y11" i="25"/>
  <c r="Y19" i="25" s="1"/>
  <c r="O60" i="55" l="1"/>
  <c r="O85" i="55"/>
  <c r="P86" i="55"/>
  <c r="P61" i="55"/>
  <c r="R82" i="55"/>
  <c r="R57" i="55"/>
  <c r="O61" i="55"/>
  <c r="O86" i="55"/>
  <c r="Z49" i="32"/>
  <c r="Z12" i="32"/>
  <c r="Z50" i="32" s="1"/>
  <c r="AB20" i="25"/>
  <c r="P9" i="35" s="1"/>
  <c r="Q11" i="55" s="1"/>
  <c r="AA11" i="25"/>
  <c r="AA19" i="25" s="1"/>
  <c r="AB14" i="25"/>
  <c r="AB13" i="25" s="1"/>
  <c r="AC12" i="25"/>
  <c r="N61" i="55"/>
  <c r="M60" i="55"/>
  <c r="O20" i="26"/>
  <c r="O11" i="26" s="1"/>
  <c r="N79" i="26"/>
  <c r="N74" i="26" s="1"/>
  <c r="M8" i="35"/>
  <c r="N10" i="55" s="1"/>
  <c r="N85" i="55" s="1"/>
  <c r="X13" i="32"/>
  <c r="X12" i="32" s="1"/>
  <c r="X50" i="32" s="1"/>
  <c r="Y13" i="32"/>
  <c r="AB11" i="25" l="1"/>
  <c r="AB19" i="25" s="1"/>
  <c r="P8" i="35" s="1"/>
  <c r="Q10" i="55" s="1"/>
  <c r="Q60" i="55" s="1"/>
  <c r="Q85" i="55"/>
  <c r="Q61" i="55"/>
  <c r="Q86" i="55"/>
  <c r="G2" i="50"/>
  <c r="AA13" i="32"/>
  <c r="AA49" i="32" s="1"/>
  <c r="O8" i="35"/>
  <c r="P10" i="55" s="1"/>
  <c r="AC14" i="25"/>
  <c r="AC13" i="25" s="1"/>
  <c r="AB13" i="32"/>
  <c r="AC20" i="25"/>
  <c r="Q9" i="35" s="1"/>
  <c r="R11" i="55" s="1"/>
  <c r="N60" i="55"/>
  <c r="N47" i="20"/>
  <c r="N48" i="20" s="1"/>
  <c r="O79" i="26"/>
  <c r="O74" i="26" s="1"/>
  <c r="P20" i="26"/>
  <c r="X49" i="32"/>
  <c r="Y49" i="32"/>
  <c r="Y12" i="32"/>
  <c r="AA12" i="32" l="1"/>
  <c r="AA50" i="32" s="1"/>
  <c r="R86" i="55"/>
  <c r="R61" i="55"/>
  <c r="P85" i="55"/>
  <c r="P60" i="55"/>
  <c r="AC11" i="25"/>
  <c r="AC19" i="25" s="1"/>
  <c r="Q8" i="35" s="1"/>
  <c r="R10" i="55" s="1"/>
  <c r="AB12" i="32"/>
  <c r="AB50" i="32" s="1"/>
  <c r="AB49" i="32"/>
  <c r="P79" i="26"/>
  <c r="P74" i="26" s="1"/>
  <c r="P11" i="26"/>
  <c r="Q20" i="26"/>
  <c r="C2" i="35"/>
  <c r="D4" i="55" s="1"/>
  <c r="D79" i="55" s="1"/>
  <c r="O47" i="20"/>
  <c r="O48" i="20" s="1"/>
  <c r="N28" i="20"/>
  <c r="N29" i="20" s="1"/>
  <c r="AU61" i="20"/>
  <c r="AU60" i="20"/>
  <c r="AU62" i="20"/>
  <c r="N14" i="20"/>
  <c r="Y50" i="32"/>
  <c r="R85" i="55" l="1"/>
  <c r="R60" i="55"/>
  <c r="AC13" i="32"/>
  <c r="AC12" i="32" s="1"/>
  <c r="AC50" i="32" s="1"/>
  <c r="AV60" i="20"/>
  <c r="O28" i="20"/>
  <c r="O29" i="20" s="1"/>
  <c r="AV62" i="20"/>
  <c r="AV61" i="20"/>
  <c r="O14" i="20"/>
  <c r="D54" i="55"/>
  <c r="R20" i="26"/>
  <c r="Q79" i="26"/>
  <c r="Q74" i="26" s="1"/>
  <c r="D2" i="35"/>
  <c r="E4" i="55" s="1"/>
  <c r="E79" i="55" s="1"/>
  <c r="P47" i="20"/>
  <c r="P48" i="20" s="1"/>
  <c r="H12" i="30"/>
  <c r="N12" i="49"/>
  <c r="O12" i="49" l="1"/>
  <c r="K26" i="49" s="1"/>
  <c r="J26" i="49"/>
  <c r="AC49" i="32"/>
  <c r="R79" i="26"/>
  <c r="R74" i="26" s="1"/>
  <c r="R11" i="26"/>
  <c r="S20" i="26"/>
  <c r="AW62" i="20"/>
  <c r="P28" i="20"/>
  <c r="P29" i="20" s="1"/>
  <c r="AW61" i="20"/>
  <c r="AW60" i="20"/>
  <c r="P14" i="20"/>
  <c r="E54" i="55"/>
  <c r="Q47" i="20"/>
  <c r="Q48" i="20" s="1"/>
  <c r="E2" i="35"/>
  <c r="F4" i="55" s="1"/>
  <c r="F79" i="55" s="1"/>
  <c r="P12" i="49" l="1"/>
  <c r="S79" i="26"/>
  <c r="S74" i="26" s="1"/>
  <c r="S11" i="26"/>
  <c r="T20" i="26"/>
  <c r="F54" i="55"/>
  <c r="Q28" i="20"/>
  <c r="Q29" i="20" s="1"/>
  <c r="AX62" i="20"/>
  <c r="AX61" i="20"/>
  <c r="AX60" i="20"/>
  <c r="Q14" i="20"/>
  <c r="F2" i="35"/>
  <c r="G4" i="55" s="1"/>
  <c r="G79" i="55" s="1"/>
  <c r="R47" i="20"/>
  <c r="R48" i="20" s="1"/>
  <c r="L25" i="49"/>
  <c r="J30" i="32"/>
  <c r="J31" i="32" s="1"/>
  <c r="P29" i="32" l="1"/>
  <c r="D11" i="35"/>
  <c r="L26" i="49"/>
  <c r="L27" i="49" s="1"/>
  <c r="AY62" i="20"/>
  <c r="AY60" i="20"/>
  <c r="AY61" i="20"/>
  <c r="R28" i="20"/>
  <c r="R29" i="20" s="1"/>
  <c r="R14" i="20"/>
  <c r="T79" i="26"/>
  <c r="T74" i="26" s="1"/>
  <c r="U20" i="26"/>
  <c r="T11" i="26"/>
  <c r="G54" i="55"/>
  <c r="S47" i="20"/>
  <c r="S48" i="20" s="1"/>
  <c r="G2" i="35"/>
  <c r="H4" i="55" s="1"/>
  <c r="H79" i="55" s="1"/>
  <c r="E13" i="55"/>
  <c r="E88" i="55" s="1"/>
  <c r="L30" i="32"/>
  <c r="K30" i="32"/>
  <c r="K31" i="32" s="1"/>
  <c r="M25" i="49"/>
  <c r="P10" i="26"/>
  <c r="P9" i="26" s="1"/>
  <c r="D10" i="35"/>
  <c r="E12" i="55" s="1"/>
  <c r="E87" i="55" s="1"/>
  <c r="Q29" i="32" l="1"/>
  <c r="E11" i="35"/>
  <c r="N25" i="49"/>
  <c r="E63" i="55"/>
  <c r="E62" i="55"/>
  <c r="U79" i="26"/>
  <c r="U74" i="26" s="1"/>
  <c r="U11" i="26"/>
  <c r="V20" i="26"/>
  <c r="AZ60" i="20"/>
  <c r="AZ62" i="20"/>
  <c r="AZ61" i="20"/>
  <c r="S28" i="20"/>
  <c r="S29" i="20" s="1"/>
  <c r="S14" i="20"/>
  <c r="H2" i="35"/>
  <c r="I4" i="55" s="1"/>
  <c r="I79" i="55" s="1"/>
  <c r="T47" i="20"/>
  <c r="T48" i="20" s="1"/>
  <c r="H54" i="55"/>
  <c r="L31" i="32"/>
  <c r="M30" i="32"/>
  <c r="M31" i="32" s="1"/>
  <c r="J27" i="49"/>
  <c r="C10" i="35"/>
  <c r="D13" i="55"/>
  <c r="D88" i="55" s="1"/>
  <c r="G44" i="49"/>
  <c r="O25" i="49"/>
  <c r="N30" i="32"/>
  <c r="S29" i="32" l="1"/>
  <c r="G11" i="35"/>
  <c r="R29" i="32"/>
  <c r="F11" i="35"/>
  <c r="D63" i="55"/>
  <c r="V79" i="26"/>
  <c r="V74" i="26" s="1"/>
  <c r="V11" i="26"/>
  <c r="W20" i="26"/>
  <c r="BA60" i="20"/>
  <c r="T28" i="20"/>
  <c r="T29" i="20" s="1"/>
  <c r="BA61" i="20"/>
  <c r="BA62" i="20"/>
  <c r="T14" i="20"/>
  <c r="I54" i="55"/>
  <c r="U47" i="20"/>
  <c r="U48" i="20" s="1"/>
  <c r="I2" i="35"/>
  <c r="J4" i="55" s="1"/>
  <c r="J79" i="55" s="1"/>
  <c r="O10" i="26"/>
  <c r="O9" i="26" s="1"/>
  <c r="D12" i="55"/>
  <c r="D87" i="55" s="1"/>
  <c r="K27" i="49"/>
  <c r="P25" i="49"/>
  <c r="O30" i="32"/>
  <c r="C18" i="35" s="1"/>
  <c r="N31" i="32"/>
  <c r="Q12" i="49"/>
  <c r="M26" i="49" s="1"/>
  <c r="S12" i="49"/>
  <c r="O26" i="49" s="1"/>
  <c r="T29" i="32" l="1"/>
  <c r="H11" i="35"/>
  <c r="D62" i="55"/>
  <c r="J54" i="55"/>
  <c r="W79" i="26"/>
  <c r="W74" i="26" s="1"/>
  <c r="X20" i="26"/>
  <c r="W11" i="26"/>
  <c r="U28" i="20"/>
  <c r="U29" i="20" s="1"/>
  <c r="BB61" i="20"/>
  <c r="BB60" i="20"/>
  <c r="BB62" i="20"/>
  <c r="U14" i="20"/>
  <c r="J2" i="35"/>
  <c r="K4" i="55" s="1"/>
  <c r="K79" i="55" s="1"/>
  <c r="V47" i="20"/>
  <c r="V48" i="20" s="1"/>
  <c r="R12" i="49"/>
  <c r="N26" i="49" s="1"/>
  <c r="O28" i="32"/>
  <c r="H13" i="55"/>
  <c r="H88" i="55" s="1"/>
  <c r="D20" i="55"/>
  <c r="D95" i="55" s="1"/>
  <c r="P30" i="32"/>
  <c r="O31" i="32"/>
  <c r="Q25" i="49"/>
  <c r="U29" i="32" l="1"/>
  <c r="I11" i="35"/>
  <c r="H63" i="55"/>
  <c r="D70" i="55"/>
  <c r="K54" i="55"/>
  <c r="X79" i="26"/>
  <c r="X74" i="26" s="1"/>
  <c r="X11" i="26"/>
  <c r="Y20" i="26"/>
  <c r="Z20" i="26" s="1"/>
  <c r="V28" i="20"/>
  <c r="V29" i="20" s="1"/>
  <c r="V14" i="20"/>
  <c r="K2" i="35"/>
  <c r="L4" i="55" s="1"/>
  <c r="L79" i="55" s="1"/>
  <c r="W47" i="20"/>
  <c r="W48" i="20" s="1"/>
  <c r="R25" i="49"/>
  <c r="Q30" i="32"/>
  <c r="D18" i="35"/>
  <c r="E20" i="55" s="1"/>
  <c r="E95" i="55" s="1"/>
  <c r="P31" i="32"/>
  <c r="F13" i="55"/>
  <c r="F88" i="55" s="1"/>
  <c r="P28" i="32"/>
  <c r="G10" i="35"/>
  <c r="H12" i="55" s="1"/>
  <c r="H87" i="55" s="1"/>
  <c r="S10" i="26"/>
  <c r="S9" i="26" s="1"/>
  <c r="O27" i="49"/>
  <c r="G13" i="55"/>
  <c r="G88" i="55" s="1"/>
  <c r="V29" i="32" l="1"/>
  <c r="J11" i="35"/>
  <c r="AA20" i="26"/>
  <c r="Z79" i="26"/>
  <c r="Z74" i="26" s="1"/>
  <c r="Z11" i="26"/>
  <c r="H62" i="55"/>
  <c r="G63" i="55"/>
  <c r="F63" i="55"/>
  <c r="E70" i="55"/>
  <c r="L54" i="55"/>
  <c r="Y11" i="26"/>
  <c r="Y79" i="26"/>
  <c r="Y74" i="26" s="1"/>
  <c r="X47" i="20"/>
  <c r="X48" i="20" s="1"/>
  <c r="L2" i="35"/>
  <c r="M4" i="55" s="1"/>
  <c r="M79" i="55" s="1"/>
  <c r="W28" i="20"/>
  <c r="W29" i="20" s="1"/>
  <c r="W14" i="20"/>
  <c r="S25" i="49"/>
  <c r="E10" i="35"/>
  <c r="F12" i="55" s="1"/>
  <c r="F87" i="55" s="1"/>
  <c r="Q10" i="26"/>
  <c r="M27" i="49"/>
  <c r="Q28" i="32"/>
  <c r="Q31" i="32"/>
  <c r="E18" i="35"/>
  <c r="F20" i="55" s="1"/>
  <c r="F95" i="55" s="1"/>
  <c r="R30" i="32"/>
  <c r="R10" i="26"/>
  <c r="R9" i="26" s="1"/>
  <c r="F10" i="35"/>
  <c r="G12" i="55" s="1"/>
  <c r="G87" i="55" s="1"/>
  <c r="N27" i="49"/>
  <c r="W29" i="32" l="1"/>
  <c r="K11" i="35"/>
  <c r="N2" i="35"/>
  <c r="O4" i="55" s="1"/>
  <c r="Z47" i="20"/>
  <c r="Z48" i="20" s="1"/>
  <c r="AB20" i="26"/>
  <c r="AA79" i="26"/>
  <c r="AA74" i="26" s="1"/>
  <c r="AA11" i="26"/>
  <c r="F70" i="55"/>
  <c r="G62" i="55"/>
  <c r="F62" i="55"/>
  <c r="M54" i="55"/>
  <c r="X28" i="20"/>
  <c r="X29" i="20" s="1"/>
  <c r="X14" i="20"/>
  <c r="Y47" i="20"/>
  <c r="Y48" i="20" s="1"/>
  <c r="M2" i="35"/>
  <c r="N4" i="55" s="1"/>
  <c r="N79" i="55" s="1"/>
  <c r="F18" i="35"/>
  <c r="G20" i="55" s="1"/>
  <c r="G95" i="55" s="1"/>
  <c r="R31" i="32"/>
  <c r="S30" i="32"/>
  <c r="T25" i="49"/>
  <c r="H44" i="49"/>
  <c r="R28" i="32"/>
  <c r="O54" i="55" l="1"/>
  <c r="O79" i="55"/>
  <c r="X29" i="32"/>
  <c r="L11" i="35"/>
  <c r="T12" i="49"/>
  <c r="P26" i="49" s="1"/>
  <c r="O2" i="35"/>
  <c r="P4" i="55" s="1"/>
  <c r="AA47" i="20"/>
  <c r="AA48" i="20" s="1"/>
  <c r="AC20" i="26"/>
  <c r="AB79" i="26"/>
  <c r="AB74" i="26" s="1"/>
  <c r="AB11" i="26"/>
  <c r="Z14" i="20"/>
  <c r="Z28" i="20"/>
  <c r="G70" i="55"/>
  <c r="N54" i="55"/>
  <c r="Y28" i="20"/>
  <c r="Y29" i="20" s="1"/>
  <c r="Y14" i="20"/>
  <c r="S28" i="32"/>
  <c r="G18" i="35"/>
  <c r="H20" i="55" s="1"/>
  <c r="H95" i="55" s="1"/>
  <c r="S31" i="32"/>
  <c r="T30" i="32"/>
  <c r="U25" i="49"/>
  <c r="I44" i="49"/>
  <c r="P54" i="55" l="1"/>
  <c r="P79" i="55"/>
  <c r="Z29" i="20"/>
  <c r="Y29" i="32"/>
  <c r="M11" i="35"/>
  <c r="U12" i="49"/>
  <c r="Q26" i="49" s="1"/>
  <c r="V25" i="49"/>
  <c r="P2" i="35"/>
  <c r="Q4" i="55" s="1"/>
  <c r="AB47" i="20"/>
  <c r="AB48" i="20" s="1"/>
  <c r="AC79" i="26"/>
  <c r="AC74" i="26" s="1"/>
  <c r="AC11" i="26"/>
  <c r="AA14" i="20"/>
  <c r="AA28" i="20"/>
  <c r="H70" i="55"/>
  <c r="T28" i="32"/>
  <c r="U30" i="32"/>
  <c r="T31" i="32"/>
  <c r="H18" i="35"/>
  <c r="I20" i="55" s="1"/>
  <c r="I95" i="55" s="1"/>
  <c r="I13" i="55"/>
  <c r="I88" i="55" s="1"/>
  <c r="V12" i="49" l="1"/>
  <c r="R26" i="49" s="1"/>
  <c r="Q54" i="55"/>
  <c r="Q79" i="55"/>
  <c r="Z29" i="32"/>
  <c r="N11" i="35"/>
  <c r="W25" i="49"/>
  <c r="X25" i="49"/>
  <c r="Q2" i="35"/>
  <c r="R4" i="55" s="1"/>
  <c r="AC47" i="20"/>
  <c r="AC48" i="20" s="1"/>
  <c r="AB14" i="20"/>
  <c r="AB28" i="20"/>
  <c r="I70" i="55"/>
  <c r="I63" i="55"/>
  <c r="H10" i="35"/>
  <c r="I12" i="55" s="1"/>
  <c r="I87" i="55" s="1"/>
  <c r="T10" i="26"/>
  <c r="T9" i="26" s="1"/>
  <c r="P27" i="49"/>
  <c r="U31" i="32"/>
  <c r="I18" i="35"/>
  <c r="J20" i="55" s="1"/>
  <c r="J95" i="55" s="1"/>
  <c r="V30" i="32"/>
  <c r="U28" i="32"/>
  <c r="W12" i="49"/>
  <c r="S26" i="49" s="1"/>
  <c r="J13" i="55"/>
  <c r="J88" i="55" s="1"/>
  <c r="AB29" i="32" l="1"/>
  <c r="P11" i="35"/>
  <c r="Q13" i="55" s="1"/>
  <c r="R79" i="55"/>
  <c r="R54" i="55"/>
  <c r="AA29" i="32"/>
  <c r="O11" i="35"/>
  <c r="P13" i="55" s="1"/>
  <c r="AC14" i="20"/>
  <c r="AC28" i="20"/>
  <c r="Y25" i="49"/>
  <c r="I62" i="55"/>
  <c r="J63" i="55"/>
  <c r="J70" i="55"/>
  <c r="J18" i="35"/>
  <c r="K20" i="55" s="1"/>
  <c r="K95" i="55" s="1"/>
  <c r="V31" i="32"/>
  <c r="V28" i="32"/>
  <c r="W30" i="32"/>
  <c r="I10" i="35"/>
  <c r="J12" i="55" s="1"/>
  <c r="J87" i="55" s="1"/>
  <c r="U10" i="26"/>
  <c r="U9" i="26" s="1"/>
  <c r="Q27" i="49"/>
  <c r="K13" i="55"/>
  <c r="K88" i="55" s="1"/>
  <c r="X12" i="49"/>
  <c r="T26" i="49" s="1"/>
  <c r="Q63" i="55" l="1"/>
  <c r="Q88" i="55"/>
  <c r="P88" i="55"/>
  <c r="P63" i="55"/>
  <c r="AC29" i="32"/>
  <c r="Q11" i="35"/>
  <c r="R13" i="55" s="1"/>
  <c r="K70" i="55"/>
  <c r="J62" i="55"/>
  <c r="K63" i="55"/>
  <c r="Y12" i="49"/>
  <c r="U26" i="49" s="1"/>
  <c r="L13" i="55"/>
  <c r="L88" i="55" s="1"/>
  <c r="J10" i="35"/>
  <c r="K12" i="55" s="1"/>
  <c r="K87" i="55" s="1"/>
  <c r="V10" i="26"/>
  <c r="V9" i="26" s="1"/>
  <c r="R27" i="49"/>
  <c r="X30" i="32"/>
  <c r="W28" i="32"/>
  <c r="K18" i="35"/>
  <c r="L20" i="55" s="1"/>
  <c r="L95" i="55" s="1"/>
  <c r="W31" i="32"/>
  <c r="R88" i="55" l="1"/>
  <c r="R63" i="55"/>
  <c r="Z12" i="49"/>
  <c r="V26" i="49" s="1"/>
  <c r="K62" i="55"/>
  <c r="L70" i="55"/>
  <c r="L63" i="55"/>
  <c r="X31" i="32"/>
  <c r="X28" i="32"/>
  <c r="Y30" i="32"/>
  <c r="Z30" i="32" s="1"/>
  <c r="L18" i="35"/>
  <c r="M20" i="55" s="1"/>
  <c r="M95" i="55" s="1"/>
  <c r="M13" i="55"/>
  <c r="M88" i="55" s="1"/>
  <c r="K10" i="35"/>
  <c r="L12" i="55" s="1"/>
  <c r="L87" i="55" s="1"/>
  <c r="W10" i="26"/>
  <c r="W9" i="26" s="1"/>
  <c r="S27" i="49"/>
  <c r="N13" i="55"/>
  <c r="N88" i="55" s="1"/>
  <c r="AA12" i="49" l="1"/>
  <c r="W26" i="49" s="1"/>
  <c r="AA30" i="32"/>
  <c r="N18" i="35"/>
  <c r="O20" i="55" s="1"/>
  <c r="Z31" i="32"/>
  <c r="Z28" i="32"/>
  <c r="L62" i="55"/>
  <c r="M63" i="55"/>
  <c r="M70" i="55"/>
  <c r="N63" i="55"/>
  <c r="Y10" i="26"/>
  <c r="Y9" i="26" s="1"/>
  <c r="M10" i="35"/>
  <c r="N12" i="55" s="1"/>
  <c r="N87" i="55" s="1"/>
  <c r="U27" i="49"/>
  <c r="X10" i="26"/>
  <c r="X9" i="26" s="1"/>
  <c r="L10" i="35"/>
  <c r="M12" i="55" s="1"/>
  <c r="M87" i="55" s="1"/>
  <c r="T27" i="49"/>
  <c r="M18" i="35"/>
  <c r="N20" i="55" s="1"/>
  <c r="N95" i="55" s="1"/>
  <c r="Y28" i="32"/>
  <c r="Y31" i="32"/>
  <c r="O9" i="48"/>
  <c r="N9" i="48"/>
  <c r="O95" i="55" l="1"/>
  <c r="O70" i="55"/>
  <c r="C19" i="35"/>
  <c r="D21" i="55" s="1"/>
  <c r="D96" i="55" s="1"/>
  <c r="AA31" i="32"/>
  <c r="O18" i="35"/>
  <c r="P20" i="55" s="1"/>
  <c r="AA28" i="32"/>
  <c r="AB30" i="32"/>
  <c r="AB12" i="49"/>
  <c r="X26" i="49" s="1"/>
  <c r="O13" i="55"/>
  <c r="N70" i="55"/>
  <c r="M62" i="55"/>
  <c r="N62" i="55"/>
  <c r="P95" i="55" l="1"/>
  <c r="P70" i="55"/>
  <c r="O63" i="55"/>
  <c r="O88" i="55"/>
  <c r="D71" i="55"/>
  <c r="Z10" i="26"/>
  <c r="Z9" i="26" s="1"/>
  <c r="N10" i="35"/>
  <c r="O12" i="55" s="1"/>
  <c r="V27" i="49"/>
  <c r="AB28" i="32"/>
  <c r="AC30" i="32"/>
  <c r="AB31" i="32"/>
  <c r="P18" i="35"/>
  <c r="Q20" i="55" s="1"/>
  <c r="AC12" i="49"/>
  <c r="Y26" i="49" s="1"/>
  <c r="P9" i="48"/>
  <c r="D19" i="35" s="1"/>
  <c r="E21" i="55" s="1"/>
  <c r="E96" i="55" s="1"/>
  <c r="O87" i="55" l="1"/>
  <c r="O62" i="55"/>
  <c r="Q70" i="55"/>
  <c r="Q95" i="55"/>
  <c r="O10" i="35"/>
  <c r="P12" i="55" s="1"/>
  <c r="AA10" i="26"/>
  <c r="AA9" i="26" s="1"/>
  <c r="W27" i="49"/>
  <c r="Q18" i="35"/>
  <c r="R20" i="55" s="1"/>
  <c r="AC31" i="32"/>
  <c r="AC28" i="32"/>
  <c r="E71" i="55"/>
  <c r="Q9" i="48"/>
  <c r="E19" i="35" s="1"/>
  <c r="F21" i="55" s="1"/>
  <c r="F96" i="55" s="1"/>
  <c r="P87" i="55" l="1"/>
  <c r="P62" i="55"/>
  <c r="R95" i="55"/>
  <c r="R70" i="55"/>
  <c r="P10" i="35"/>
  <c r="Q12" i="55" s="1"/>
  <c r="AB10" i="26"/>
  <c r="AB9" i="26" s="1"/>
  <c r="X27" i="49"/>
  <c r="Q10" i="35"/>
  <c r="R12" i="55" s="1"/>
  <c r="AC10" i="26"/>
  <c r="AC9" i="26" s="1"/>
  <c r="Y27" i="49"/>
  <c r="F71" i="55"/>
  <c r="R9" i="48"/>
  <c r="F19" i="35" s="1"/>
  <c r="G21" i="55" s="1"/>
  <c r="G96" i="55" s="1"/>
  <c r="R62" i="55" l="1"/>
  <c r="R87" i="55"/>
  <c r="Q62" i="55"/>
  <c r="Q87" i="55"/>
  <c r="G71" i="55"/>
  <c r="S9" i="48"/>
  <c r="G19" i="35" s="1"/>
  <c r="H21" i="55" s="1"/>
  <c r="H96" i="55" s="1"/>
  <c r="H71" i="55" l="1"/>
  <c r="T9" i="48"/>
  <c r="H19" i="35" s="1"/>
  <c r="I21" i="55" s="1"/>
  <c r="I96" i="55" s="1"/>
  <c r="I71" i="55" l="1"/>
  <c r="U9" i="48"/>
  <c r="I19" i="35" s="1"/>
  <c r="J21" i="55" s="1"/>
  <c r="J96" i="55" s="1"/>
  <c r="J71" i="55" l="1"/>
  <c r="V9" i="48"/>
  <c r="J19" i="35" s="1"/>
  <c r="K21" i="55" s="1"/>
  <c r="K96" i="55" s="1"/>
  <c r="K71" i="55" l="1"/>
  <c r="W9" i="48"/>
  <c r="K19" i="35" s="1"/>
  <c r="L21" i="55" s="1"/>
  <c r="L96" i="55" s="1"/>
  <c r="Y9" i="48" l="1"/>
  <c r="M19" i="35" s="1"/>
  <c r="N21" i="55" s="1"/>
  <c r="N96" i="55" s="1"/>
  <c r="L71" i="55"/>
  <c r="X9" i="48"/>
  <c r="L19" i="35" s="1"/>
  <c r="M21" i="55" s="1"/>
  <c r="M96" i="55" s="1"/>
  <c r="N50" i="32"/>
  <c r="N51" i="32" s="1"/>
  <c r="N54" i="32" s="1"/>
  <c r="N20" i="32" s="1"/>
  <c r="Z9" i="48" l="1"/>
  <c r="N19" i="35" s="1"/>
  <c r="O21" i="55" s="1"/>
  <c r="M71" i="55"/>
  <c r="N71" i="55"/>
  <c r="N21" i="32"/>
  <c r="O96" i="55" l="1"/>
  <c r="O71" i="55"/>
  <c r="AA9" i="48"/>
  <c r="O19" i="35" s="1"/>
  <c r="P21" i="55" s="1"/>
  <c r="O21" i="32"/>
  <c r="N22" i="32"/>
  <c r="P71" i="55" l="1"/>
  <c r="P96" i="55"/>
  <c r="AC9" i="48"/>
  <c r="Q19" i="35" s="1"/>
  <c r="R21" i="55" s="1"/>
  <c r="AB9" i="48"/>
  <c r="P19" i="35" s="1"/>
  <c r="Q21" i="55" s="1"/>
  <c r="P21" i="32"/>
  <c r="P22" i="32" s="1"/>
  <c r="D17" i="35" s="1"/>
  <c r="E19" i="55" s="1"/>
  <c r="E94" i="55" s="1"/>
  <c r="O22" i="32"/>
  <c r="P12" i="32"/>
  <c r="P50" i="32" s="1"/>
  <c r="Q96" i="55" l="1"/>
  <c r="Q71" i="55"/>
  <c r="R71" i="55"/>
  <c r="R96" i="55"/>
  <c r="C17" i="35"/>
  <c r="D19" i="55" s="1"/>
  <c r="E69" i="55"/>
  <c r="F3" i="46"/>
  <c r="G3" i="46" s="1"/>
  <c r="O17" i="32"/>
  <c r="O12" i="32" s="1"/>
  <c r="O50" i="32" s="1"/>
  <c r="O14" i="30"/>
  <c r="O13" i="30" s="1"/>
  <c r="O11" i="30" s="1"/>
  <c r="O44" i="30" l="1"/>
  <c r="C6" i="35" s="1"/>
  <c r="D8" i="55" s="1"/>
  <c r="D94" i="55"/>
  <c r="D69" i="55"/>
  <c r="O49" i="32"/>
  <c r="Q11" i="26"/>
  <c r="Q9" i="26" s="1"/>
  <c r="AD19" i="26"/>
  <c r="D58" i="55" l="1"/>
  <c r="D83" i="5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tc={BB2BD600-D27D-45BD-8287-F361E12EE9C4}</author>
    <author>tc={EC883E67-97AD-460D-B658-F12FDD429342}</author>
    <author>tc={57CD4897-BB4E-42F1-89BB-E63A5874F81B}</author>
  </authors>
  <commentList>
    <comment ref="C54" authorId="0" shapeId="0" xr:uid="{BB2BD600-D27D-45BD-8287-F361E12EE9C4}">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55" authorId="1" shapeId="0" xr:uid="{EC883E67-97AD-460D-B658-F12FDD429342}">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56" authorId="2" shapeId="0" xr:uid="{57CD4897-BB4E-42F1-89BB-E63A5874F81B}">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tc={FBF719C3-4EBB-4CF4-85D6-29DC43293E79}</author>
    <author>tc={5C1A55B5-EFE3-48D6-83D8-94CC860B4224}</author>
    <author>tc={5B268A7E-4684-4417-99DA-FD209D4D638F}</author>
    <author>tc={EDDC02C6-9D5A-4D48-BD38-306F90DEE81E}</author>
    <author>tc={740ECA18-D6DC-4F42-982C-CBA3C5290FBF}</author>
    <author>tc={1C07D7AD-E31D-4773-BE5C-B49586DCA617}</author>
    <author>tc={ACC2DA47-74E7-4849-95C9-ED36B6AB864E}</author>
  </authors>
  <commentList>
    <comment ref="B10" authorId="0" shapeId="0" xr:uid="{FBF719C3-4EBB-4CF4-85D6-29DC43293E79}">
      <text>
        <t>[Threaded comment]
Your version of Excel allows you to read this threaded comment; however, any edits to it will get removed if the file is opened in a newer version of Excel. Learn more: https://go.microsoft.com/fwlink/?linkid=870924
Comment:
    July 2021 CBO Economic Projections, Quarterly Table, Row 127</t>
      </text>
    </comment>
    <comment ref="B11" authorId="1" shapeId="0" xr:uid="{5C1A55B5-EFE3-48D6-83D8-94CC860B4224}">
      <text>
        <t>[Threaded comment]
Your version of Excel allows you to read this threaded comment; however, any edits to it will get removed if the file is opened in a newer version of Excel. Learn more: https://go.microsoft.com/fwlink/?linkid=870924
Comment:
    July 2021 CBO Economic Projections, Quarterly Table, Row 127</t>
      </text>
    </comment>
    <comment ref="AM52" authorId="2" shapeId="0" xr:uid="{5B268A7E-4684-4417-99DA-FD209D4D638F}">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131</t>
      </text>
    </comment>
    <comment ref="AM53" authorId="3" shapeId="0" xr:uid="{EDDC02C6-9D5A-4D48-BD38-306F90DEE81E}">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130</t>
      </text>
    </comment>
    <comment ref="AM56" authorId="4" shapeId="0" xr:uid="{740ECA18-D6DC-4F42-982C-CBA3C5290FBF}">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130</t>
      </text>
    </comment>
    <comment ref="AM57" authorId="5" shapeId="0" xr:uid="{1C07D7AD-E31D-4773-BE5C-B49586DCA617}">
      <text>
        <t>[Threaded comment]
Your version of Excel allows you to read this threaded comment; however, any edits to it will get removed if the file is opened in a newer version of Excel. Learn more: https://go.microsoft.com/fwlink/?linkid=870924
Comment:
    February 2021 Ten Year Economic Projections, Quarterly Table, Row 130</t>
      </text>
    </comment>
    <comment ref="AM58" authorId="6" shapeId="0" xr:uid="{ACC2DA47-74E7-4849-95C9-ED36B6AB864E}">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129</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tc={5A6F0B75-1BEC-463F-B62E-540015F319F5}</author>
  </authors>
  <commentList>
    <comment ref="B22" authorId="0" shapeId="0" xr:uid="{5A6F0B75-1BEC-463F-B62E-540015F319F5}">
      <text>
        <t>[Threaded comment]
Your version of Excel allows you to read this threaded comment; however, any edits to it will get removed if the file is opened in a newer version of Excel. Learn more: https://go.microsoft.com/fwlink/?linkid=870924
Comment:
    Disaster Loans and RRF are from BEA's Effects of Pandemic Legislation table with the release-- Haver doesn't include them yet.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tc={02C76BE2-5443-42F2-86DF-AF6D4E078647}</author>
  </authors>
  <commentList>
    <comment ref="B22" authorId="0" shapeId="0" xr:uid="{02C76BE2-5443-42F2-86DF-AF6D4E078647}">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68</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tc={0AB5B9CF-1B2D-4A5C-BF3C-95BCD01E3E19}</author>
  </authors>
  <commentList>
    <comment ref="B16" authorId="0" shapeId="0" xr:uid="{0AB5B9CF-1B2D-4A5C-BF3C-95BCD01E3E19}">
      <text>
        <t>[Threaded comment]
Your version of Excel allows you to read this threaded comment; however, any edits to it will get removed if the file is opened in a newer version of Excel. Learn more: https://go.microsoft.com/fwlink/?linkid=870924
Comment:
    July 2021 CBO Ten Year Budget, Table 1-3 Adjusted, Row 19</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tc={CC69A487-3D08-4297-8FB7-7488CBF453BB}</author>
    <author>tc={71B27ACE-8EB1-41E9-BE88-ED5FAE7FA520}</author>
  </authors>
  <commentList>
    <comment ref="B19" authorId="0" shapeId="0" xr:uid="{CC69A487-3D08-4297-8FB7-7488CBF453BB}">
      <text>
        <t>[Threaded comment]
Your version of Excel allows you to read this threaded comment; however, any edits to it will get removed if the file is opened in a newer version of Excel. Learn more: https://go.microsoft.com/fwlink/?linkid=870924
Comment:
    July 2021 CBO Ten Year Budget Projections, Table 1-3 Adjusted, Line 17</t>
      </text>
    </comment>
    <comment ref="B23" authorId="1" shapeId="0" xr:uid="{71B27ACE-8EB1-41E9-BE88-ED5FAE7FA520}">
      <text>
        <t>[Threaded comment]
Your version of Excel allows you to read this threaded comment; however, any edits to it will get removed if the file is opened in a newer version of Excel. Learn more: https://go.microsoft.com/fwlink/?linkid=870924
Comment:
    CBO January 2020 Ten-Year Budget Projections, Table 1-3 Supplement, Line 19</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tc={24753AED-CAC4-444D-81F9-11531D47EC3F}</author>
    <author>tc={D7348167-3C82-468E-B4C0-6427D8E833D4}</author>
    <author>tc={6EED6AD3-62EA-4002-BA5A-3406F4C9F84C}</author>
    <author>Louise Sheiner</author>
  </authors>
  <commentList>
    <comment ref="B35" authorId="0" shapeId="0" xr:uid="{24753AED-CAC4-444D-81F9-11531D47EC3F}">
      <text>
        <t>[Threaded comment]
Your version of Excel allows you to read this threaded comment; however, any edits to it will get removed if the file is opened in a newer version of Excel. Learn more: https://go.microsoft.com/fwlink/?linkid=870924
Comment:
    July 2021 CBO Ten Year Budget Projections, Table 1-3 Adjusted, Row 11</t>
      </text>
    </comment>
    <comment ref="J52" authorId="1" shapeId="0" xr:uid="{D7348167-3C82-468E-B4C0-6427D8E833D4}">
      <text>
        <t>[Threaded comment]
Your version of Excel allows you to read this threaded comment; however, any edits to it will get removed if the file is opened in a newer version of Excel. Learn more: https://go.microsoft.com/fwlink/?linkid=870924
Comment:
    Formula changes to grow I52 by a pre-covid counterfactual growth rate.</t>
      </text>
    </comment>
    <comment ref="M52" authorId="2" shapeId="0" xr:uid="{6EED6AD3-62EA-4002-BA5A-3406F4C9F84C}">
      <text>
        <t>[Threaded comment]
Your version of Excel allows you to read this threaded comment; however, any edits to it will get removed if the file is opened in a newer version of Excel. Learn more: https://go.microsoft.com/fwlink/?linkid=870924
Comment:
    This formula change accounts for a step up in social security in Q1 of 2021 that is unrelated to Covid.</t>
      </text>
    </comment>
    <comment ref="J87" authorId="3" shapeId="0" xr:uid="{9CBA1D03-E066-4587-9010-F41DF0498D19}">
      <text>
        <r>
          <rPr>
            <b/>
            <sz val="9"/>
            <color indexed="81"/>
            <rFont val="Tahoma"/>
            <charset val="1"/>
          </rPr>
          <t>Louise Sheiner
:</t>
        </r>
        <r>
          <rPr>
            <sz val="9"/>
            <color indexed="81"/>
            <rFont val="Tahoma"/>
            <charset val="1"/>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tc={5BC45E12-A1BF-4D3A-8400-86F7FB4B639C}</author>
    <author>tc={C93D758A-376E-4ADB-9FBC-C0583695E1EA}</author>
    <author>tc={64D0EC66-8B96-40E7-A04C-C308174D41BF}</author>
    <author>tc={AD68B43D-B368-4F10-8676-0F65E9119296}</author>
    <author>tc={655C1D52-3072-4BEF-AB85-7EA4B5DD03E3}</author>
    <author>tc={AFB606EB-2C77-4FBA-805A-853A55D6F8B3}</author>
    <author>tc={0B84B7CB-88AC-4DB2-A9D9-A38BD6B560A2}</author>
    <author>tc={0C8C4388-8CB7-4F64-8ECC-A3E55BF48974}</author>
    <author>tc={568717E5-188C-48CA-9FAB-434BF53ED207}</author>
    <author>tc={7899D3FD-3161-4B20-BD11-089D65961CBD}</author>
    <author>tc={92DCE874-AC14-4080-8F99-EF0B35B01255}</author>
    <author>tc={0190A1C9-6B62-4C8C-B798-03309CF236D5}</author>
    <author>tc={A3D70EB2-D10F-4710-B97B-254019547227}</author>
  </authors>
  <commentList>
    <comment ref="D24" authorId="0" shapeId="0" xr:uid="{5BC45E12-A1BF-4D3A-8400-86F7FB4B639C}">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11</t>
      </text>
    </comment>
    <comment ref="D25" authorId="1" shapeId="0" xr:uid="{C93D758A-376E-4ADB-9FBC-C0583695E1EA}">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12</t>
      </text>
    </comment>
    <comment ref="D27" authorId="2" shapeId="0" xr:uid="{64D0EC66-8B96-40E7-A04C-C308174D41BF}">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15</t>
      </text>
    </comment>
    <comment ref="D28" authorId="3" shapeId="0" xr:uid="{AD68B43D-B368-4F10-8676-0F65E9119296}">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17</t>
      </text>
    </comment>
    <comment ref="D29" authorId="4" shapeId="0" xr:uid="{655C1D52-3072-4BEF-AB85-7EA4B5DD03E3}">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11</t>
      </text>
    </comment>
    <comment ref="D47" authorId="5" shapeId="0" xr:uid="{AFB606EB-2C77-4FBA-805A-853A55D6F8B3}">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92</t>
      </text>
    </comment>
    <comment ref="D48" authorId="6" shapeId="0" xr:uid="{0B84B7CB-88AC-4DB2-A9D9-A38BD6B560A2}">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96</t>
      </text>
    </comment>
    <comment ref="D49" authorId="7" shapeId="0" xr:uid="{0C8C4388-8CB7-4F64-8ECC-A3E55BF48974}">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116</t>
      </text>
    </comment>
    <comment ref="D50" authorId="8" shapeId="0" xr:uid="{568717E5-188C-48CA-9FAB-434BF53ED207}">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110</t>
      </text>
    </comment>
    <comment ref="D74" authorId="9" shapeId="0" xr:uid="{7899D3FD-3161-4B20-BD11-089D65961CBD}">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96</t>
      </text>
    </comment>
    <comment ref="D75" authorId="10" shapeId="0" xr:uid="{92DCE874-AC14-4080-8F99-EF0B35B01255}">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116</t>
      </text>
    </comment>
    <comment ref="D76" authorId="11" shapeId="0" xr:uid="{0190A1C9-6B62-4C8C-B798-03309CF236D5}">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110</t>
      </text>
    </comment>
    <comment ref="N99" authorId="12" shapeId="0" xr:uid="{A3D70EB2-D10F-4710-B97B-254019547227}">
      <text>
        <t>[Threaded comment]
Your version of Excel allows you to read this threaded comment; however, any edits to it will get removed if the file is opened in a newer version of Excel. Learn more: https://go.microsoft.com/fwlink/?linkid=870924
Comment:
    Formula change!</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932956EA-9A05-4B8D-ABE8-9A5A953CB2B6}">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s>
  <commentList>
    <comment ref="L5" authorId="0" shapeId="0" xr:uid="{DC73AD49-B7D6-4667-A66E-8EE403D2E997}">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List>
</comments>
</file>

<file path=xl/sharedStrings.xml><?xml version="1.0" encoding="utf-8"?>
<sst xmlns="http://schemas.openxmlformats.org/spreadsheetml/2006/main" count="2517" uniqueCount="1239">
  <si>
    <t>Consumption Grants</t>
  </si>
  <si>
    <t>gfegc</t>
  </si>
  <si>
    <t>gfege</t>
  </si>
  <si>
    <t>gfegv</t>
  </si>
  <si>
    <t>education</t>
  </si>
  <si>
    <t>Total</t>
  </si>
  <si>
    <t>Investment Grants</t>
  </si>
  <si>
    <t>State Social Benefits</t>
  </si>
  <si>
    <t>Direct Aid to Families</t>
  </si>
  <si>
    <t>Aid to Financially Vulnerable Households</t>
  </si>
  <si>
    <t>Health grants</t>
  </si>
  <si>
    <t>COVID-19 Containment and Vaccination; Aid to State and Local Governments; Federal Spending</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</si>
  <si>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</si>
  <si>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</si>
  <si>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</si>
  <si>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</si>
  <si>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</si>
  <si>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</si>
  <si>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</si>
  <si>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</si>
  <si>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</si>
  <si>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</si>
  <si>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</si>
  <si>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</si>
  <si>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</si>
  <si>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</si>
  <si>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</si>
  <si>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</si>
  <si>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</si>
  <si>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</si>
  <si>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</si>
  <si>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T2, Sub. C, Sec.2203, 2204, 2205, 2206</t>
  </si>
  <si>
    <t>T9, Sub.N, Sec.9911</t>
  </si>
  <si>
    <t>T9, Sub.N, Sec. 9912</t>
  </si>
  <si>
    <t>T2, Sub.A, part 1</t>
  </si>
  <si>
    <t>T2, Sub. D, E, F, G</t>
  </si>
  <si>
    <t>T2: subA, part2; subB, I, J</t>
  </si>
  <si>
    <t>T11, Total</t>
  </si>
  <si>
    <t>T7 SubD,E,F</t>
  </si>
  <si>
    <t>T3, Sub. D</t>
  </si>
  <si>
    <t>T2, Sub. C, Sec. 2201</t>
  </si>
  <si>
    <t>T8, Total</t>
  </si>
  <si>
    <t>T2, Sub. H</t>
  </si>
  <si>
    <t>T3, Sub. A</t>
  </si>
  <si>
    <t>T4, Total</t>
  </si>
  <si>
    <t>T6, Total</t>
  </si>
  <si>
    <t>T10, Total</t>
  </si>
  <si>
    <t>T9, Sub.G, Part 8</t>
  </si>
  <si>
    <t>T2, Sub. C, Sec. 2202</t>
  </si>
  <si>
    <t>T3 Sub. C Sec. 3301</t>
  </si>
  <si>
    <t>T9, SubG, part5</t>
  </si>
  <si>
    <t>T9, Part6</t>
  </si>
  <si>
    <t>T9, Sub.H</t>
  </si>
  <si>
    <t>T7, parts A B C</t>
  </si>
  <si>
    <t>date</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</si>
  <si>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</si>
  <si>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</si>
  <si>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</si>
  <si>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</si>
  <si>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</si>
  <si>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</si>
  <si>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</si>
  <si>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</si>
  <si>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</si>
  <si>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</si>
  <si>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</si>
  <si>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</si>
  <si>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</si>
  <si>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</si>
  <si>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</si>
  <si>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</si>
  <si>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</si>
  <si>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</si>
  <si>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medicaid</t>
  </si>
  <si>
    <t>medicare</t>
  </si>
  <si>
    <t>chip</t>
  </si>
  <si>
    <t>coronavirus relief fund (aid to state and local)</t>
  </si>
  <si>
    <t>human services and community supports, minus childcare policies</t>
  </si>
  <si>
    <t>provider relief</t>
  </si>
  <si>
    <t>Title 9 other</t>
  </si>
  <si>
    <t>covid containment/vaccination</t>
  </si>
  <si>
    <t xml:space="preserve">other state and local </t>
  </si>
  <si>
    <t>grants to tribal governments</t>
  </si>
  <si>
    <t>commerce and science federal spending</t>
  </si>
  <si>
    <t>other transportation</t>
  </si>
  <si>
    <t>Child care and development block grant program</t>
  </si>
  <si>
    <t>VA</t>
  </si>
  <si>
    <t>Mental Health</t>
  </si>
  <si>
    <t>Medical Supplies</t>
  </si>
  <si>
    <t>Homeland Security Grants</t>
  </si>
  <si>
    <t>Environment Grants</t>
  </si>
  <si>
    <t>Foreign Aid</t>
  </si>
  <si>
    <t>miscellaneous from T9</t>
  </si>
  <si>
    <t>Child Care Stabilization</t>
  </si>
  <si>
    <t>ppp</t>
  </si>
  <si>
    <t>grants to small businesses</t>
  </si>
  <si>
    <t>small business credit initiative</t>
  </si>
  <si>
    <t>paid_sick_leave</t>
  </si>
  <si>
    <t>employee_retention</t>
  </si>
  <si>
    <t>pensions</t>
  </si>
  <si>
    <t>transit and aviation support</t>
  </si>
  <si>
    <t>Grants</t>
  </si>
  <si>
    <t>grants_timing</t>
  </si>
  <si>
    <t>grants_mpc</t>
  </si>
  <si>
    <t>other_direct_aid_timing</t>
  </si>
  <si>
    <t>rebate_checks_timing</t>
  </si>
  <si>
    <t>other_vulnerable_timing</t>
  </si>
  <si>
    <t>ui_timing</t>
  </si>
  <si>
    <t>aid to small businesses_timing</t>
  </si>
  <si>
    <t>health_grants_timing</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</si>
  <si>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</si>
  <si>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</si>
  <si>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</si>
  <si>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</si>
  <si>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</si>
  <si>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</si>
  <si>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</si>
  <si>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</si>
  <si>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</si>
  <si>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</si>
  <si>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</si>
  <si>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</si>
  <si>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</si>
  <si>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</si>
  <si>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</si>
  <si>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</si>
  <si>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</si>
  <si>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</si>
  <si>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</si>
  <si>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</si>
  <si>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State Purchases</t>
  </si>
  <si>
    <t>Rebate Checks</t>
  </si>
  <si>
    <t>Subsidies</t>
  </si>
  <si>
    <t>Federal UI</t>
  </si>
  <si>
    <t>State UI</t>
  </si>
  <si>
    <t>Q1</t>
  </si>
  <si>
    <t>Q2</t>
  </si>
  <si>
    <t>Q3</t>
  </si>
  <si>
    <t>Q4</t>
  </si>
  <si>
    <t>Total Medicaid</t>
  </si>
  <si>
    <t>Federal Medicaid</t>
  </si>
  <si>
    <t>Medicaid</t>
  </si>
  <si>
    <t>Pandemic Unemployment Compensation Payments</t>
  </si>
  <si>
    <t>PROJECTION</t>
  </si>
  <si>
    <t>Federal Purchases</t>
  </si>
  <si>
    <t>Federal</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</si>
  <si>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</si>
  <si>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</si>
  <si>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</si>
  <si>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</si>
  <si>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</si>
  <si>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</si>
  <si>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</si>
  <si>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</si>
  <si>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</si>
  <si>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</si>
  <si>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</si>
  <si>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</si>
  <si>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</si>
  <si>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</si>
  <si>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</si>
  <si>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</si>
  <si>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</si>
  <si>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</si>
  <si>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</si>
  <si>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</si>
  <si>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</si>
  <si>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2025 Q1</t>
  </si>
  <si>
    <t>2025 Q2</t>
  </si>
  <si>
    <t>2025 Q3</t>
  </si>
  <si>
    <t>2025 Q4</t>
  </si>
  <si>
    <t>Total Grants</t>
  </si>
  <si>
    <t>Newsletter</t>
  </si>
  <si>
    <t>Wordpress</t>
  </si>
  <si>
    <t>Fact checking</t>
  </si>
  <si>
    <t>Drafting the text</t>
  </si>
  <si>
    <t>Publishing the FIM</t>
  </si>
  <si>
    <t>Calculating contributions</t>
  </si>
  <si>
    <t>Rebate checks</t>
  </si>
  <si>
    <t>Deflators</t>
  </si>
  <si>
    <t>Medicaid Grants</t>
  </si>
  <si>
    <t>Unemployment insurance</t>
  </si>
  <si>
    <t>Pulling in the new data from Haver</t>
  </si>
  <si>
    <t>https://www.bea.gov/news/current-releases</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</si>
  <si>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</si>
  <si>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Setting up</t>
  </si>
  <si>
    <t>Comments from last time</t>
  </si>
  <si>
    <t>Comments</t>
  </si>
  <si>
    <t xml:space="preserve">Done? </t>
  </si>
  <si>
    <t>How to execute</t>
  </si>
  <si>
    <t xml:space="preserve">Methodology </t>
  </si>
  <si>
    <t>Checklist</t>
  </si>
  <si>
    <t>Checklist Item</t>
  </si>
  <si>
    <t>yptu</t>
  </si>
  <si>
    <t>yptub</t>
  </si>
  <si>
    <t>yptue</t>
  </si>
  <si>
    <t>yptup</t>
  </si>
  <si>
    <t>yptuc</t>
  </si>
  <si>
    <t>yptol</t>
  </si>
  <si>
    <t>gf</t>
  </si>
  <si>
    <t>jgf</t>
  </si>
  <si>
    <t>gdp</t>
  </si>
  <si>
    <t>gdph</t>
  </si>
  <si>
    <t>jgdp</t>
  </si>
  <si>
    <t>c</t>
  </si>
  <si>
    <t>ch</t>
  </si>
  <si>
    <t>jc</t>
  </si>
  <si>
    <t>jgs</t>
  </si>
  <si>
    <t>jgse</t>
  </si>
  <si>
    <t>jgsi</t>
  </si>
  <si>
    <t>yptmr</t>
  </si>
  <si>
    <t>yptmd</t>
  </si>
  <si>
    <t>gtfp</t>
  </si>
  <si>
    <t>ypog</t>
  </si>
  <si>
    <t>yptx</t>
  </si>
  <si>
    <t>ytpi</t>
  </si>
  <si>
    <t>yctlg</t>
  </si>
  <si>
    <t>g</t>
  </si>
  <si>
    <t>grcsi</t>
  </si>
  <si>
    <t>dc</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</si>
  <si>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</si>
  <si>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</si>
  <si>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</si>
  <si>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</si>
  <si>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</si>
  <si>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</si>
  <si>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</si>
  <si>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</si>
  <si>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</si>
  <si>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</si>
  <si>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</si>
  <si>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</si>
  <si>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</si>
  <si>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</si>
  <si>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</si>
  <si>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</si>
  <si>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</si>
  <si>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</si>
  <si>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</si>
  <si>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</si>
  <si>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</si>
  <si>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</si>
  <si>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</si>
  <si>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</si>
  <si>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</si>
  <si>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</si>
  <si>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</si>
  <si>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</si>
  <si>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</si>
  <si>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</si>
  <si>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</si>
  <si>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</si>
  <si>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gftfpu</t>
  </si>
  <si>
    <t>pcw</t>
  </si>
  <si>
    <t>gdppothq</t>
  </si>
  <si>
    <t>gdppotq</t>
  </si>
  <si>
    <t>recessq</t>
  </si>
  <si>
    <t>lasgova</t>
  </si>
  <si>
    <t>lalgova</t>
  </si>
  <si>
    <t>cpgs</t>
  </si>
  <si>
    <t>NIPA DATA (Millions)</t>
  </si>
  <si>
    <t>HISTORY</t>
  </si>
  <si>
    <t>Unemployment Insurance (NIPA Definition)</t>
  </si>
  <si>
    <t>Sum of Federal and State UI (Not including the Lost Wages supplemental payment)</t>
  </si>
  <si>
    <t xml:space="preserve">    Extended Unemployment Benefits (Federal Share)</t>
  </si>
  <si>
    <t>Use change in projected unemployment rate to project normal (EUC), which turns off if UR goes below 5</t>
  </si>
  <si>
    <t xml:space="preserve">    Federal Increase due to Legislation</t>
  </si>
  <si>
    <t xml:space="preserve">         Extended Benefits (Would be state without legislation) </t>
  </si>
  <si>
    <t xml:space="preserve">         Pandemic Emergency Unemployment Compensation</t>
  </si>
  <si>
    <t xml:space="preserve">         Pandemic Unemployment Assistance</t>
  </si>
  <si>
    <t xml:space="preserve">         Pandemic Unemployment Compensation Payments</t>
  </si>
  <si>
    <t>Lost wages supplemental payments (Federal)</t>
  </si>
  <si>
    <t>Total State (FIM)</t>
  </si>
  <si>
    <t>Monthly UR</t>
  </si>
  <si>
    <t>Projection from CBO Score of ARP and our assumptions about disbursement timing (ARP Quarterly)</t>
  </si>
  <si>
    <t>State Purchases (NIPA consistent)</t>
  </si>
  <si>
    <t>Federal Purchases (NIPA consistent)</t>
  </si>
  <si>
    <t>Total Projected Federal Purchases (NIPA consistent)</t>
  </si>
  <si>
    <t>Sum of ARP and non-ARP projected federal purchases; grants not yet redistributed between federal government and states</t>
  </si>
  <si>
    <t>Total, with grants removed from state spending and reattributed to federal</t>
  </si>
  <si>
    <t>Judgemental Growth Rate</t>
  </si>
  <si>
    <t>Pre-pandemic CBO State Purchases Growth (annualized)</t>
  </si>
  <si>
    <t>NIPA Consistent</t>
  </si>
  <si>
    <t>FIM Consistent</t>
  </si>
  <si>
    <t>Investment Grants (FIM)</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</si>
  <si>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</si>
  <si>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</si>
  <si>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Education</t>
  </si>
  <si>
    <t>Transportation</t>
  </si>
  <si>
    <t>Coronavirus Relief Fund</t>
  </si>
  <si>
    <t>Education Stabilization Fund</t>
  </si>
  <si>
    <t>Provider Relief Fund</t>
  </si>
  <si>
    <t>NIPA Data (Billions)</t>
  </si>
  <si>
    <t>CARES Act Grants Total</t>
  </si>
  <si>
    <t>December Stimulus Grants Total</t>
  </si>
  <si>
    <t>Federal Purchases (FIM consistent)</t>
  </si>
  <si>
    <t>Data for comparing state purchases projections</t>
  </si>
  <si>
    <t>February CBO Projected State Purchases</t>
  </si>
  <si>
    <t>Pre-pandemic CBO Projected State Purchases</t>
  </si>
  <si>
    <t>NIPA Consistent Projected State Purchases</t>
  </si>
  <si>
    <t>See methodology and comparison charts to the right</t>
  </si>
  <si>
    <t>State Purchases (FIM Consistent)</t>
  </si>
  <si>
    <t>Provision</t>
  </si>
  <si>
    <t>Aid to small businesses</t>
  </si>
  <si>
    <t>Paycheck Protection Program (PPP) Second Draw </t>
  </si>
  <si>
    <t>Economic Injury Disaster Loan Advances</t>
  </si>
  <si>
    <t>Emergency Grants to Venues</t>
  </si>
  <si>
    <t>Other Small Business Relief and Program Expenses</t>
  </si>
  <si>
    <t>Extend and Augment Unemployment Benefits (+$300/week) for 11 weeks</t>
  </si>
  <si>
    <t>Stimulus checks of $600/person</t>
  </si>
  <si>
    <t>Vaccine Procurement</t>
  </si>
  <si>
    <t>K-12 Education Grants</t>
  </si>
  <si>
    <t>Higher Education Grants</t>
  </si>
  <si>
    <t>Grants  to HBCUs, Minority Serving Institutions, and Tribal and Territories</t>
  </si>
  <si>
    <t>Grants to For-Profit  Colleges to Provide Financial Aid</t>
  </si>
  <si>
    <t>Other Spending</t>
  </si>
  <si>
    <t>Education Grants for Tribes and Territories</t>
  </si>
  <si>
    <t>Other Tax Cuts</t>
  </si>
  <si>
    <t>Health Care</t>
  </si>
  <si>
    <t>Funding for States  for Testing, Tracing,  and COVID Mitigation</t>
  </si>
  <si>
    <t>Vaaccine Distribution Through the States &amp; CDC</t>
  </si>
  <si>
    <t>Mental Health  Funding</t>
  </si>
  <si>
    <t>Additional Health Care Provider Grants</t>
  </si>
  <si>
    <t>Repeal the Medicare Sequester through  March 2021</t>
  </si>
  <si>
    <t>Increase Physician Pay Schedule</t>
  </si>
  <si>
    <t>Other Health Funding</t>
  </si>
  <si>
    <t>Second Round Payroll Support Program for Airline Workers</t>
  </si>
  <si>
    <t>Transit Infrastructure Grants</t>
  </si>
  <si>
    <t>State Highway Funding</t>
  </si>
  <si>
    <t>Grants to Transportation Service Providers Like Buses and Ferries</t>
  </si>
  <si>
    <t>Airport Grants</t>
  </si>
  <si>
    <t>Amtrak Funding</t>
  </si>
  <si>
    <t>Nutrition and Agriculture Programs</t>
  </si>
  <si>
    <t>Community Lender Support</t>
  </si>
  <si>
    <t>Childcare Grants</t>
  </si>
  <si>
    <t>Broadband Grants and Investment</t>
  </si>
  <si>
    <t>Provide Additional Emergency Funding to Agencies</t>
  </si>
  <si>
    <t>Disaster Relief Funding for COVID Funeral Expenses</t>
  </si>
  <si>
    <t>Community Development Block Grants</t>
  </si>
  <si>
    <t>Write-Off $10 Billion U.S. Postal Service Loan</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</si>
  <si>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</si>
  <si>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</si>
  <si>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</si>
  <si>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</si>
  <si>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</si>
  <si>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</si>
  <si>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Governor's Emergency Education Relief Fund</t>
  </si>
  <si>
    <t>ARP Consumption Grants</t>
  </si>
  <si>
    <t>Score</t>
  </si>
  <si>
    <t>Ten year cost (annualized)</t>
  </si>
  <si>
    <t>Total Non-Medicaid Consumption Grants</t>
  </si>
  <si>
    <t>Source: https://www.crfb.org/blogs/whats-final-covid-relief-deal-2020</t>
  </si>
  <si>
    <t>Sum</t>
  </si>
  <si>
    <t xml:space="preserve">Subsidies </t>
  </si>
  <si>
    <t>Ten Year Cost</t>
  </si>
  <si>
    <t>What we use for our assumptions</t>
  </si>
  <si>
    <t xml:space="preserve">Overseas Vaccine Response </t>
  </si>
  <si>
    <t>NIPA Disbursement  Data (Billions)</t>
  </si>
  <si>
    <t>Transportation*</t>
  </si>
  <si>
    <t>Grants from Legislation</t>
  </si>
  <si>
    <t>Remainder</t>
  </si>
  <si>
    <t>Total Disbursed</t>
  </si>
  <si>
    <t>Paycheck Protection Program (PPP)</t>
  </si>
  <si>
    <t xml:space="preserve">Economic Injury Disaster Loan Advances </t>
  </si>
  <si>
    <t>Grants to tribal governments</t>
  </si>
  <si>
    <t>Rental Assistance</t>
  </si>
  <si>
    <t>Our Spending Assumptions</t>
  </si>
  <si>
    <t>Coronavirus Fiscal Recovery Fund</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</si>
  <si>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</si>
  <si>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Column1</t>
  </si>
  <si>
    <t>Grant</t>
  </si>
  <si>
    <t>Purchase</t>
  </si>
  <si>
    <t>Congress lent USPS $10 billion in CARES Act; this was just saying they don't have to pay it back.</t>
  </si>
  <si>
    <t>Available via FEMA-- I don’t think that goes through states but not sure?</t>
  </si>
  <si>
    <t xml:space="preserve">I would say this is a subsidy since I think it's support for lending to small businesses? </t>
  </si>
  <si>
    <t>https://www.journalofaccountancy.com/news/2020/dec/covid-19-relief-bill-addresses-key-ppp-issues.html</t>
  </si>
  <si>
    <t>https://www.ffyf.org/timeline-of-covid-19-relief-for-the-child-care-industry-and-working-families/</t>
  </si>
  <si>
    <t>https://www.wiley.law/alert-Congress-Provides-Nearly-7-Billion-in-New-Broadband-Funding-in-the-Latest-COVID-19-Stimulus-Legislation</t>
  </si>
  <si>
    <t>I think this is a purchase. Much of it goes directly to service providers and not through states as far as I can tell</t>
  </si>
  <si>
    <t>Struggling to find much information on this</t>
  </si>
  <si>
    <t>Subsidy</t>
  </si>
  <si>
    <t>For "stabilizing the childcare industry". Subsidy, but check whether the BEA puts it into state grants</t>
  </si>
  <si>
    <t>Purchases</t>
  </si>
  <si>
    <t>Provider relief grant</t>
  </si>
  <si>
    <t>Transfers (medicare)</t>
  </si>
  <si>
    <t>Medicare</t>
  </si>
  <si>
    <t>Legislation Total</t>
  </si>
  <si>
    <t>BEA Categories Total</t>
  </si>
  <si>
    <t>Column2</t>
  </si>
  <si>
    <t>Community Development Block Grant</t>
  </si>
  <si>
    <t>Provider Relief</t>
  </si>
  <si>
    <t>Covid and Mental Health Healthcare Grants</t>
  </si>
  <si>
    <t>COVID and Mental Health Healthcare</t>
  </si>
  <si>
    <t>Other aid to state, local and tribal governments</t>
  </si>
  <si>
    <t>Other state and local aid</t>
  </si>
  <si>
    <t>https://home.treasury.gov/policy-issues/coronavirus/assistance-for-state-local-and-tribal-governments/state-and-local-fiscal-recovery-funds</t>
  </si>
  <si>
    <t>We grow other grant disbursements (total non-Medicaid grants minus grants from legislation) by 0.4% every quarter.</t>
  </si>
  <si>
    <t>Similarly to transportation grants, we add our assumptions about disbursement here as "data" in 2021 Q1 since BEA doesn't include a category for these smaller pieces.</t>
  </si>
  <si>
    <t>We think that BEA doesn't include transportation grants in the effects of the legislation, so we use our CFRB score here as our disbursement "data" in 2021Q1.</t>
  </si>
  <si>
    <t>Table 1</t>
  </si>
  <si>
    <t>Table 2</t>
  </si>
  <si>
    <t>Table 3</t>
  </si>
  <si>
    <t>Table 4</t>
  </si>
  <si>
    <t>We spread all December stimulus grants (see Response and Relief Act Score) out evenly over three years, with the exception of the Education Stabilization Fund, which we lower slightly in 2021Q1 and add 7 in 2024Q1 because the 2021Q1 data came in lower than expected.</t>
  </si>
  <si>
    <t>Our CARES Act disbursements follow the BEA disbursement data until fully spent; we spread the remaining ESF money across 2021.</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</si>
  <si>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</si>
  <si>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Non-legislation subsidies</t>
  </si>
  <si>
    <t>Legislation subsidies</t>
  </si>
  <si>
    <t>Coronavirus Food Assistance Program</t>
  </si>
  <si>
    <t>Employee Retention Tax Credit</t>
  </si>
  <si>
    <t>Grants to air carriers</t>
  </si>
  <si>
    <t xml:space="preserve">Paycheck Protection Program loans to businesses </t>
  </si>
  <si>
    <t xml:space="preserve">Provider Relief Fund </t>
  </si>
  <si>
    <t xml:space="preserve">Support for public transit agencies </t>
  </si>
  <si>
    <t xml:space="preserve">Tax credits to fund paid sick leave </t>
  </si>
  <si>
    <t>Total Medicaid Spending</t>
  </si>
  <si>
    <t>Federal Medicaid Grants</t>
  </si>
  <si>
    <t>CBO Projection of Federal Medicaid Outlays</t>
  </si>
  <si>
    <t>Annual FMAP</t>
  </si>
  <si>
    <t>Total Medicaid Annual Growth Rate</t>
  </si>
  <si>
    <t>Quarterly Projection (Billions)</t>
  </si>
  <si>
    <t xml:space="preserve">State Medicaid </t>
  </si>
  <si>
    <t>Fiscal Years (Billions)</t>
  </si>
  <si>
    <t>Remaining Social Benefits</t>
  </si>
  <si>
    <t>Total Medicare</t>
  </si>
  <si>
    <t>State</t>
  </si>
  <si>
    <t>NIPA DATA (Billions)</t>
  </si>
  <si>
    <t>Medicare Spending Growth Rate</t>
  </si>
  <si>
    <t>Total Rebate Checks
(ARP + non-ARP)</t>
  </si>
  <si>
    <t>Total Unemployment Insurance
(Federal + State)</t>
  </si>
  <si>
    <t>Total Medicaid (Federal + State)</t>
  </si>
  <si>
    <t>Other Direct Aid</t>
  </si>
  <si>
    <t>Paycheck Protection Program</t>
  </si>
  <si>
    <t>SNAP</t>
  </si>
  <si>
    <t>Other</t>
  </si>
  <si>
    <t>Unemployment Compensation Expansion</t>
  </si>
  <si>
    <r>
      <t>Recovery Rebates</t>
    </r>
    <r>
      <rPr>
        <vertAlign val="superscript"/>
        <sz val="11"/>
        <rFont val="Arial"/>
        <family val="2"/>
      </rPr>
      <t>a</t>
    </r>
  </si>
  <si>
    <t>HHS Public Health and Social Services Emergency Fund</t>
  </si>
  <si>
    <t>Medicaid Financial Assistance to States and</t>
  </si>
  <si>
    <t>Disaster Relief</t>
  </si>
  <si>
    <t>Medicare Accelerated Payments</t>
  </si>
  <si>
    <t>Increase in SNAP Beneficiaries and Average Benefits</t>
  </si>
  <si>
    <t>Pandemic Relief for Aviation Workers</t>
  </si>
  <si>
    <t>Other Programs</t>
  </si>
  <si>
    <t>Growth Rate</t>
  </si>
  <si>
    <t>State Social Benefits minus Total Medicaid</t>
  </si>
  <si>
    <t xml:space="preserve">Other </t>
  </si>
  <si>
    <t>Investment Grants Deflator Growth</t>
  </si>
  <si>
    <t>Investment Grants Deflator</t>
  </si>
  <si>
    <t>Consumption Grants Deflator Growth</t>
  </si>
  <si>
    <t>Consumption Grants Deflator</t>
  </si>
  <si>
    <t>State Purchases Deflator Growth</t>
  </si>
  <si>
    <t>State Purchases Deflator</t>
  </si>
  <si>
    <t>Federal Purchases Deflator Growth</t>
  </si>
  <si>
    <t>Federal Purchases Deflator</t>
  </si>
  <si>
    <t>Consumption Deflator Growth</t>
  </si>
  <si>
    <t>Consumption Deflator</t>
  </si>
  <si>
    <t>GDP Deflator Growth</t>
  </si>
  <si>
    <t>GDP Deflator</t>
  </si>
  <si>
    <t>Federal Purchases (NIPA Consistent)</t>
  </si>
  <si>
    <t>State Purchases (NIPA Consistent)</t>
  </si>
  <si>
    <t>ARP Other Vulnerable</t>
  </si>
  <si>
    <t>ARP Other Direct Aid</t>
  </si>
  <si>
    <t>Non-ARP Rebate Checks</t>
  </si>
  <si>
    <t>ARP Rebate Checks</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</si>
  <si>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</si>
  <si>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</si>
  <si>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</si>
  <si>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</si>
  <si>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</si>
  <si>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FPUC - Additional $600 per week</t>
  </si>
  <si>
    <t>PUA - Eligibility expansion</t>
  </si>
  <si>
    <t>PEUC - Additional 13 weeks of coverage</t>
  </si>
  <si>
    <t>___</t>
  </si>
  <si>
    <t>Subtotal, unemployment compensation</t>
  </si>
  <si>
    <t>Coverage Continuity for Enrollees</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</si>
  <si>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</si>
  <si>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</si>
  <si>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</si>
  <si>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</si>
  <si>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</si>
  <si>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PPP</t>
  </si>
  <si>
    <t>UI</t>
  </si>
  <si>
    <t>Checks</t>
  </si>
  <si>
    <t>Education Grants/Transfers/Subsidies</t>
  </si>
  <si>
    <t>Provider Relief Grants/Transfers/Subsidies</t>
  </si>
  <si>
    <t>PPP to NPISH</t>
  </si>
  <si>
    <t>Provider Relief to NPISH</t>
  </si>
  <si>
    <t>2021</t>
  </si>
  <si>
    <t>Federal Social Benefits minus UI, Medicare and Rebate Checks, and other legislation</t>
  </si>
  <si>
    <t>https://www.americanactionforum.org/research/tracker-paycheck-protection-program-loans/</t>
  </si>
  <si>
    <t>Date</t>
  </si>
  <si>
    <t>Cumulative</t>
  </si>
  <si>
    <t>New Disbursement</t>
  </si>
  <si>
    <t xml:space="preserve"> </t>
  </si>
  <si>
    <t>Total Other ARP Social Benefits</t>
  </si>
  <si>
    <t>SNAP due to COVID</t>
  </si>
  <si>
    <t>Total  Subsidies</t>
  </si>
  <si>
    <t>CRFB Score of December Legislation</t>
  </si>
  <si>
    <t>Other Aid to Small Business</t>
  </si>
  <si>
    <t>Support Program for Airline Workers</t>
  </si>
  <si>
    <t>Increase Relative to Pre-COVID</t>
  </si>
  <si>
    <t>Total Accounted for in Detail</t>
  </si>
  <si>
    <t>Total NIPA Social Benefits</t>
  </si>
  <si>
    <t xml:space="preserve">NIPA ex counted for </t>
  </si>
  <si>
    <t>NIPA counterfactual ex Medicare and UI</t>
  </si>
  <si>
    <t>ARP Social Benefits other than UI, Medicare, Medicaid, Rebate Checks)</t>
  </si>
  <si>
    <t>Federal Social Benefits ex Medicare, UI, and Checks</t>
  </si>
  <si>
    <t>Total Federal (FIM) - includes lost wages supplemental</t>
  </si>
  <si>
    <t>Rebate checks ARP</t>
  </si>
  <si>
    <t>Unemployment insurance ARP</t>
  </si>
  <si>
    <t>Corporate</t>
  </si>
  <si>
    <t>Non-corporate</t>
  </si>
  <si>
    <t>Other Direct Aid to Families</t>
  </si>
  <si>
    <t>Health Grants</t>
  </si>
  <si>
    <t>Other Aid to Vulnerable HHs</t>
  </si>
  <si>
    <t>UI benefits</t>
  </si>
  <si>
    <t>FY</t>
  </si>
  <si>
    <t>Jan.</t>
  </si>
  <si>
    <t>Feb.</t>
  </si>
  <si>
    <t>Mar.</t>
  </si>
  <si>
    <t>Apr.</t>
  </si>
  <si>
    <t xml:space="preserve">Non-ARP Rebate Checks </t>
  </si>
  <si>
    <t>Federal Share (FMAP) pre-ARP</t>
  </si>
  <si>
    <t>Federal Share FMAP post-ARP</t>
  </si>
  <si>
    <t>CBO Medicaid ARP Score</t>
  </si>
  <si>
    <t>FMAP Provisions</t>
  </si>
  <si>
    <t>FMAP Effects</t>
  </si>
  <si>
    <t>Social Security</t>
  </si>
  <si>
    <t>Income Secuity</t>
  </si>
  <si>
    <t>Veterans Program</t>
  </si>
  <si>
    <t>Higher Ed</t>
  </si>
  <si>
    <t>Capital Transfer Payments</t>
  </si>
  <si>
    <t>Medicare, Medicaid, CHIP (all)</t>
  </si>
  <si>
    <t>Total over 3 years</t>
  </si>
  <si>
    <t>ARP Direct Aid to Families: Child tax credit, EITC,  Childcare for workers,  Dependent  care for families</t>
  </si>
  <si>
    <t>MPC Lag Structure</t>
  </si>
  <si>
    <t>Fiscal Year</t>
  </si>
  <si>
    <t>Calendar</t>
  </si>
  <si>
    <t>purchases timing</t>
  </si>
  <si>
    <t>capital transfers</t>
  </si>
  <si>
    <t>column with score</t>
  </si>
  <si>
    <t>snap_timing</t>
  </si>
  <si>
    <t xml:space="preserve">Check </t>
  </si>
  <si>
    <t>Provider Relief FUND</t>
  </si>
  <si>
    <t>Subsidies ex Provider Relief</t>
  </si>
  <si>
    <t>Other state and local aid ex Provider Relief</t>
  </si>
  <si>
    <t>Aid to small businesses ex PPP</t>
  </si>
  <si>
    <t>Federal Social Benefits (NIPA Definition)</t>
  </si>
  <si>
    <t>Other Vulnerable excluding SNAP</t>
  </si>
  <si>
    <t>ARP Aid to Vulnerable Households: , Premium Tax Credits, Ratepayer protection, Assistance for older Americans, COBRA, Emergency Assistance</t>
  </si>
  <si>
    <t>Provider Relief Subsidies</t>
  </si>
  <si>
    <t>Provider Relief Grants</t>
  </si>
  <si>
    <t>total provider relief</t>
  </si>
  <si>
    <t>Social Benefits net of  Medicare, Medicaid, UI, SNAP and  Rebate Checks non-ARP</t>
  </si>
  <si>
    <t>Other Federal Social Benefits (including all SNAP)</t>
  </si>
  <si>
    <t>State Social Benefits ex Medicaid</t>
  </si>
  <si>
    <t>Other Grants</t>
  </si>
  <si>
    <t>Gross Consumption Grants</t>
  </si>
  <si>
    <t>Same as Disbursements</t>
  </si>
  <si>
    <t>Different spending pattern</t>
  </si>
  <si>
    <t>Baseline (non-COVID) grants</t>
  </si>
  <si>
    <t>Our assumptions about disbursement (DOES NOT CHANGE WITH BEA DATA, DO NOT EDIT)</t>
  </si>
  <si>
    <t>Total Non-Medicaid Consumption Grant Spending</t>
  </si>
  <si>
    <t>Subsidies (non-ARP) + ARP PPP and Provider Relief</t>
  </si>
  <si>
    <t>ARP: Subsidies ex PPP,  Child care stabilization, grants to small businesses, paid sick leave, employee retention tax credit, pensions, transit and  aviation  support</t>
  </si>
  <si>
    <t>Total, with grants attributed to federal spending (not used in calculations, because we use different deflators for the grants piece)</t>
  </si>
  <si>
    <t>Spreading Fiscal Year Totals over Quarters</t>
  </si>
  <si>
    <t>SPENDING ASSUMPTIONS</t>
  </si>
  <si>
    <t>ARP Subsidies ex Provider Relief and PPP</t>
  </si>
  <si>
    <t>Non-ARP Subsidies + ARP Provider Relief and PPP</t>
  </si>
  <si>
    <t>NPISH Share</t>
  </si>
  <si>
    <t>Production</t>
  </si>
  <si>
    <t>Personal</t>
  </si>
  <si>
    <t>Social Insurance</t>
  </si>
  <si>
    <t>Personal Income</t>
  </si>
  <si>
    <t>Sheet Using</t>
  </si>
  <si>
    <t>Variable</t>
  </si>
  <si>
    <t>Haver Code</t>
  </si>
  <si>
    <t>Last Update</t>
  </si>
  <si>
    <t>Current Update</t>
  </si>
  <si>
    <t>Change</t>
  </si>
  <si>
    <t>Taxes</t>
  </si>
  <si>
    <t>Federal Personal Income Taxes</t>
  </si>
  <si>
    <t>Federal Production Taxes</t>
  </si>
  <si>
    <t>Federal Corporate Income Taxes</t>
  </si>
  <si>
    <t>Federal Social Insurance</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</si>
  <si>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</si>
  <si>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</si>
  <si>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</si>
  <si>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</si>
  <si>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</si>
  <si>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</si>
  <si>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</si>
  <si>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Social Benefits</t>
  </si>
  <si>
    <t>Grants, Medicaid</t>
  </si>
  <si>
    <t>Unemployment Insurance</t>
  </si>
  <si>
    <t>Pandemic Emergency Unemployment Compensation</t>
  </si>
  <si>
    <t>Pandemic Unemployment Assistance</t>
  </si>
  <si>
    <t>Total SNAP</t>
  </si>
  <si>
    <t>gftffx</t>
  </si>
  <si>
    <t>Dividing PPP into Subsidies and Social Benefits</t>
  </si>
  <si>
    <t>Paycheck Protection Program Loans to NPISH (Social Benefits)</t>
  </si>
  <si>
    <t>We project forward the 2021Q1 NPISH share</t>
  </si>
  <si>
    <t>federal_purchases</t>
  </si>
  <si>
    <t>state_purchases</t>
  </si>
  <si>
    <t>federal_ui</t>
  </si>
  <si>
    <t>state_ui</t>
  </si>
  <si>
    <t>investment_grants</t>
  </si>
  <si>
    <t>consumption_grants</t>
  </si>
  <si>
    <t>medicaid_grants</t>
  </si>
  <si>
    <t>ARP Subsidies less Provider Relief and PPP</t>
  </si>
  <si>
    <t>federal_subsidies</t>
  </si>
  <si>
    <t>federal_aid_to_small_businesses_arp</t>
  </si>
  <si>
    <t>federal_social_benefits</t>
  </si>
  <si>
    <t>state_social_benefits</t>
  </si>
  <si>
    <t>federal_other_direct_aid_arp</t>
  </si>
  <si>
    <t>federal_other_vulnerable_arp</t>
  </si>
  <si>
    <t>rebate_checks</t>
  </si>
  <si>
    <t>rebate_checks_arp</t>
  </si>
  <si>
    <t>Federal Corporate Taxes</t>
  </si>
  <si>
    <t>State Corporate Taxes</t>
  </si>
  <si>
    <t>Federal Non-Corporate Taxes</t>
  </si>
  <si>
    <t>State Non-Corporate Taxes</t>
  </si>
  <si>
    <t>federal_non_corporate_taxes</t>
  </si>
  <si>
    <t>state_non_corporate_taxes</t>
  </si>
  <si>
    <t>federal_corporate_taxes</t>
  </si>
  <si>
    <t>state_corporate_taxes</t>
  </si>
  <si>
    <t>variable</t>
  </si>
  <si>
    <t>name</t>
  </si>
  <si>
    <t>Monthly Unemployment Rate from the BLS</t>
  </si>
  <si>
    <t>Quarterly Average</t>
  </si>
  <si>
    <t>Use change in projected unemployment rate to project state UI</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</si>
  <si>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</si>
  <si>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r>
      <t>Methodology:</t>
    </r>
    <r>
      <rPr>
        <sz val="11"/>
        <color theme="1"/>
        <rFont val="Arial"/>
        <family val="2"/>
      </rPr>
      <t xml:space="preserve"> To forecast subsidies, we split them up into legislative and non-legislative subsidies. Non-legislative subsidies are forecasted to be equal to the total subsidies from the 4 quarters before COVID-19 (2019Q2:2020Q1). Legislative subsidies are made up of several components. First, PPP is forecasted based on disbursements in the PPP sheet. The Employee Retention Tax Credit and Grants to air carriers are taken from the CRFB score of the December legislation. The forecast for the Provider Relief fund comes from the Provider Relief sheet. Other Aid to Small Business is from the sum of the CRFB scores for Economic Injury Disaster Loan Advances, Emergency Grants to Venues, Other Small Business Relief and Program Expenses, and ARP Subsidies ex Provider Relief and PPP (from our ARP score). Finally we split the total subsidies into ARP and non-ARP for the code.</t>
    </r>
  </si>
  <si>
    <t>Totals to Read Into Code</t>
  </si>
  <si>
    <t>Legislation ex PPP</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</si>
  <si>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</si>
  <si>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</si>
  <si>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BEA Monthly Rebate Checks Data</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</si>
  <si>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</si>
  <si>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Total non-corporate</t>
  </si>
  <si>
    <t>Corporate Income Tax</t>
  </si>
  <si>
    <t>Individual Income</t>
  </si>
  <si>
    <t>Payroll</t>
  </si>
  <si>
    <t>Corporate Taxes</t>
  </si>
  <si>
    <t>Monthly Taxes from Personal Income Release (just to check feasibility of our forecast)</t>
  </si>
  <si>
    <t>Social Insurance Contributions</t>
  </si>
  <si>
    <t>Production Taxes</t>
  </si>
  <si>
    <t>JAN</t>
  </si>
  <si>
    <t>FEB</t>
  </si>
  <si>
    <t>MAR</t>
  </si>
  <si>
    <t>APR</t>
  </si>
  <si>
    <t>Personal current taxes</t>
  </si>
  <si>
    <t>CBO Tax Rates</t>
  </si>
  <si>
    <t>Excise and Customs Taxes</t>
  </si>
  <si>
    <t>BEA Tax Rates Actual and Projected</t>
  </si>
  <si>
    <t>January 2020 CBO Forecast</t>
  </si>
  <si>
    <t>CBO's "Social Benefits"</t>
  </si>
  <si>
    <t>Annual Growth Rate</t>
  </si>
  <si>
    <t>Total ARP Medicaid Provisions</t>
  </si>
  <si>
    <t>ARP Federal Medicaid Provisions other than FMAP</t>
  </si>
  <si>
    <t>Rough estimate of impact on FMAP</t>
  </si>
  <si>
    <t>Probably some of the $ for the Medicaid expansions is increase in actual Medicaid, but this is good enough for now</t>
  </si>
  <si>
    <t>Coverage of Covid-19 vaccinations and treatments</t>
  </si>
  <si>
    <t>Coverage for pregnant women</t>
  </si>
  <si>
    <t>Bundled community-based mobile crisis intervention</t>
  </si>
  <si>
    <t>Temporary increase in FMAP for expanding ACA coverage</t>
  </si>
  <si>
    <t>Sunset of limit on maximum rebate</t>
  </si>
  <si>
    <t>Temporary increase in FMAP for expanding HCBS</t>
  </si>
  <si>
    <t>Strike Teams for nursing facilities</t>
  </si>
  <si>
    <t>DSH allotments during public health emergency</t>
  </si>
  <si>
    <t>100% FMAP for urban, Indian and Hawaiian organizations</t>
  </si>
  <si>
    <t>gfctp</t>
  </si>
  <si>
    <t>cpiu</t>
  </si>
  <si>
    <t>jgdp_growth</t>
  </si>
  <si>
    <t>jc_growth</t>
  </si>
  <si>
    <t>jgf_growth</t>
  </si>
  <si>
    <t>jgs_growth</t>
  </si>
  <si>
    <t>jgse_growth</t>
  </si>
  <si>
    <t>jgsi_growth</t>
  </si>
  <si>
    <t>Consumption Grants Historical Override</t>
  </si>
  <si>
    <t>consumption_grants_override</t>
  </si>
  <si>
    <t>Calculating Total Other Non-ARP Legislation</t>
  </si>
  <si>
    <t>Other Non-ARP Legislation (used in Table 1)</t>
  </si>
  <si>
    <t>Calculating SNAP due to COVID</t>
  </si>
  <si>
    <t>SNAP due to COVID (All, including ARP) (See Table 4)</t>
  </si>
  <si>
    <t>Total Other non-ARP Legislation (See Table 3)</t>
  </si>
  <si>
    <r>
      <rPr>
        <b/>
        <sz val="11"/>
        <color theme="1"/>
        <rFont val="Arial"/>
        <family val="2"/>
      </rPr>
      <t>Methodology:</t>
    </r>
    <r>
      <rPr>
        <sz val="11"/>
        <color theme="1"/>
        <rFont val="Arial"/>
        <family val="2"/>
      </rPr>
      <t xml:space="preserve"> We start by comparing the social benefits that we can account for in detail with the total social benefits from BEA. Up until 2019Q4 we take the sum of medicare and UI from BEA. From 2019Q4 on, we take the sum of the components listed in rows 13:18 of the Social Benefits spreadsheet. Then, we take the difference between the total of our components and the NIPA counterfactual. Finally, we subtract medicare and UI from NIPA social benefits. The difference between NIPA ex components and NIPA ex medicare and UI is the value that we get for Other Legislation. The forecast for Other Legislation is based on Judgment.</t>
    </r>
  </si>
  <si>
    <t>Ratio: BEA/CBO</t>
  </si>
  <si>
    <t>BEA Data FY Averages</t>
  </si>
  <si>
    <t>Provider Relief Fund (Subsidies)</t>
  </si>
  <si>
    <t>Share Social Benefits</t>
  </si>
  <si>
    <t>Share Grants</t>
  </si>
  <si>
    <t>Share Subsidies</t>
  </si>
  <si>
    <t>Provider Relief Fund to Nonprofits (NPISH) (Social Benefits)</t>
  </si>
  <si>
    <t>Provider Relief Fund to For-Profit Hospitals (Subsidies)</t>
  </si>
  <si>
    <t>Provider Relief Fund to Public Hospitals (Grants)</t>
  </si>
  <si>
    <t>Subsidies, PPP</t>
  </si>
  <si>
    <t>Extended Unemployment Benefits (Federal Share)</t>
  </si>
  <si>
    <t>Subsidies, Provider Relief Fund</t>
  </si>
  <si>
    <t>Grants, Provider Relief</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</si>
  <si>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($186.5 billion, see here: https://taggs.hhs.gov/Coronavirus/Providers). We then project the three pieces using their historical share of the total. The pieces of the ARP's Provider Relief Fund come from our ARP Score.</t>
    </r>
  </si>
  <si>
    <t>Weeks left in the first quarter disbursed (total 13)</t>
  </si>
  <si>
    <t>CBO projection of the annual tax base</t>
  </si>
  <si>
    <t>CBO projected annual revenues over projected annual base to get projected annual tax rates.</t>
  </si>
  <si>
    <t>q1</t>
  </si>
  <si>
    <t>q2</t>
  </si>
  <si>
    <t>q3</t>
  </si>
  <si>
    <t>q4</t>
  </si>
  <si>
    <t xml:space="preserve">q2 </t>
  </si>
  <si>
    <t>NOT IN GDP</t>
  </si>
  <si>
    <t>Spending out of coronavirus relief fund and other grants, not including education stabilization</t>
  </si>
  <si>
    <t>Other non-ARP COVID aid to state, local and tribal governments</t>
  </si>
  <si>
    <t>Other non-ARP COVID grants</t>
  </si>
  <si>
    <t>Other ARP aid to S&amp;L</t>
  </si>
  <si>
    <t>gftfbdx</t>
  </si>
  <si>
    <t>MPCs</t>
  </si>
  <si>
    <t>Federal and State Purchases</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</si>
  <si>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</si>
  <si>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</si>
  <si>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Revisions Sheet</t>
  </si>
  <si>
    <t>We pull in the latest historical BEA data by running a script to replace the data in Haver Pivoted. This will autofill the spreadsheets where we make our forecast assumptions with the new BEA data. This will also autofill the "Current Update" column in Revisions.</t>
  </si>
  <si>
    <t>We save a new copy of the spreadsheet each month so that we can refer to last month's assumptions and data.</t>
  </si>
  <si>
    <t>Judgmental factor</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</si>
  <si>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</si>
  <si>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</si>
  <si>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</si>
  <si>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</si>
  <si>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</si>
  <si>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</si>
  <si>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</si>
  <si>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</si>
  <si>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</si>
  <si>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</si>
  <si>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</si>
  <si>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</si>
  <si>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</si>
  <si>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</si>
  <si>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</si>
  <si>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</si>
  <si>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</si>
  <si>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</si>
  <si>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</si>
  <si>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</si>
  <si>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</si>
  <si>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</si>
  <si>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</si>
  <si>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</si>
  <si>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</si>
  <si>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</si>
  <si>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</si>
  <si>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</si>
  <si>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</si>
  <si>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</si>
  <si>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</si>
  <si>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</si>
  <si>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</si>
  <si>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</si>
  <si>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</si>
  <si>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</si>
  <si>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</si>
  <si>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</si>
  <si>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</si>
  <si>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</si>
  <si>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</si>
  <si>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</si>
  <si>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</si>
  <si>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</si>
  <si>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</si>
  <si>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</si>
  <si>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</si>
  <si>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</si>
  <si>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</si>
  <si>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</si>
  <si>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</si>
  <si>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</si>
  <si>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</si>
  <si>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</si>
  <si>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</si>
  <si>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</si>
  <si>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</si>
  <si>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</si>
  <si>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</si>
  <si>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</si>
  <si>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</si>
  <si>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</si>
  <si>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</si>
  <si>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</si>
  <si>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</si>
  <si>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</si>
  <si>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</si>
  <si>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</si>
  <si>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</si>
  <si>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</si>
  <si>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</si>
  <si>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</si>
  <si>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</si>
  <si>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</si>
  <si>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</si>
  <si>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</si>
  <si>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</si>
  <si>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</si>
  <si>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</si>
  <si>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</si>
  <si>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</si>
  <si>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</si>
  <si>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</si>
  <si>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</si>
  <si>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</si>
  <si>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</si>
  <si>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</si>
  <si>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</si>
  <si>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</si>
  <si>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</si>
  <si>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</si>
  <si>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</si>
  <si>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</si>
  <si>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</si>
  <si>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</si>
  <si>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</si>
  <si>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</si>
  <si>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</si>
  <si>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</si>
  <si>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</si>
  <si>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</si>
  <si>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</si>
  <si>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</si>
  <si>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</si>
  <si>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</si>
  <si>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</si>
  <si>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</si>
  <si>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</si>
  <si>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</si>
  <si>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</si>
  <si>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</si>
  <si>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</si>
  <si>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</si>
  <si>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</si>
  <si>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</si>
  <si>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</si>
  <si>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</si>
  <si>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</si>
  <si>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</si>
  <si>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</si>
  <si>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</si>
  <si>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</si>
  <si>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</si>
  <si>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</si>
  <si>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</si>
  <si>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</si>
  <si>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</si>
  <si>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</si>
  <si>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</si>
  <si>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</si>
  <si>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</si>
  <si>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</si>
  <si>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</si>
  <si>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</si>
  <si>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</si>
  <si>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</si>
  <si>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</si>
  <si>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</si>
  <si>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</si>
  <si>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</si>
  <si>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</si>
  <si>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</si>
  <si>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</si>
  <si>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</si>
  <si>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</si>
  <si>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</si>
  <si>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</si>
  <si>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</si>
  <si>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</si>
  <si>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</si>
  <si>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</si>
  <si>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</si>
  <si>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</si>
  <si>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</si>
  <si>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</si>
  <si>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</si>
  <si>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</si>
  <si>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</si>
  <si>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</si>
  <si>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</si>
  <si>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</si>
  <si>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</si>
  <si>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</si>
  <si>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</si>
  <si>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</si>
  <si>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</si>
  <si>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</si>
  <si>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</si>
  <si>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</si>
  <si>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</si>
  <si>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</si>
  <si>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</si>
  <si>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</si>
  <si>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</si>
  <si>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</si>
  <si>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</si>
  <si>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</si>
  <si>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</si>
  <si>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</si>
  <si>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</si>
  <si>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</si>
  <si>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</si>
  <si>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</si>
  <si>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</si>
  <si>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</si>
  <si>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</si>
  <si>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</si>
  <si>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</si>
  <si>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</si>
  <si>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</si>
  <si>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</si>
  <si>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</si>
  <si>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</si>
  <si>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</si>
  <si>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</si>
  <si>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</si>
  <si>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</si>
  <si>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</si>
  <si>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</si>
  <si>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Personal income</t>
  </si>
  <si>
    <t xml:space="preserve">        Compensation of employees</t>
  </si>
  <si>
    <t xml:space="preserve">                Wages and salaries</t>
  </si>
  <si>
    <t xml:space="preserve">                        Private industries</t>
  </si>
  <si>
    <t xml:space="preserve">                        Government</t>
  </si>
  <si>
    <t xml:space="preserve">                Supplements to wages and salaries</t>
  </si>
  <si>
    <t xml:space="preserve">        Proprietors' income with IVA and CCAdj</t>
  </si>
  <si>
    <t xml:space="preserve">                Farm</t>
  </si>
  <si>
    <t xml:space="preserve">                    Of which:</t>
  </si>
  <si>
    <t/>
  </si>
  <si>
    <r>
      <t xml:space="preserve">                        Coronavirus Food Assistance Program </t>
    </r>
    <r>
      <rPr>
        <vertAlign val="superscript"/>
        <sz val="11"/>
        <color theme="1"/>
        <rFont val="Calibri"/>
        <family val="2"/>
        <scheme val="minor"/>
      </rPr>
      <t>1</t>
    </r>
  </si>
  <si>
    <r>
      <t xml:space="preserve">                        Paycheck Protection Program loans to businesses </t>
    </r>
    <r>
      <rPr>
        <vertAlign val="superscript"/>
        <sz val="11"/>
        <color theme="1"/>
        <rFont val="Calibri"/>
        <family val="2"/>
        <scheme val="minor"/>
      </rPr>
      <t>2</t>
    </r>
  </si>
  <si>
    <t xml:space="preserve">                Nonfarm</t>
  </si>
  <si>
    <t xml:space="preserve">                   Of which:</t>
  </si>
  <si>
    <t xml:space="preserve">        Rental income of persons with CCAdj</t>
  </si>
  <si>
    <t xml:space="preserve">        Personal income receipts on assets</t>
  </si>
  <si>
    <t xml:space="preserve">                Personal interest income</t>
  </si>
  <si>
    <t xml:space="preserve">                Personal dividend income</t>
  </si>
  <si>
    <t xml:space="preserve">        Personal current transfer receipts</t>
  </si>
  <si>
    <t xml:space="preserve">                Government social benefits to persons</t>
  </si>
  <si>
    <t xml:space="preserve">                        Social security </t>
  </si>
  <si>
    <t xml:space="preserve">                        Medicare </t>
  </si>
  <si>
    <t xml:space="preserve">                            Of which:</t>
  </si>
  <si>
    <r>
      <t xml:space="preserve">                                 Increase in Medicare reimbursement rates </t>
    </r>
    <r>
      <rPr>
        <vertAlign val="superscript"/>
        <sz val="11"/>
        <color theme="1"/>
        <rFont val="Calibri"/>
        <family val="2"/>
        <scheme val="minor"/>
      </rPr>
      <t>3</t>
    </r>
  </si>
  <si>
    <t xml:space="preserve">                        Medicaid</t>
  </si>
  <si>
    <t xml:space="preserve">                        Unemployment insurance</t>
  </si>
  <si>
    <r>
      <t xml:space="preserve">                             Of which: </t>
    </r>
    <r>
      <rPr>
        <i/>
        <vertAlign val="superscript"/>
        <sz val="11"/>
        <color theme="1"/>
        <rFont val="Calibri"/>
        <family val="2"/>
        <scheme val="minor"/>
      </rPr>
      <t>4</t>
    </r>
  </si>
  <si>
    <t xml:space="preserve">                                 Extended Unemployment Benefits</t>
  </si>
  <si>
    <t xml:space="preserve">                                 Pandemic Emergency Unemployment Compensation</t>
  </si>
  <si>
    <t xml:space="preserve">                                 Pandemic Unemployment Assistance</t>
  </si>
  <si>
    <t xml:space="preserve">                                 Pandemic Unemployment Compensation Payments</t>
  </si>
  <si>
    <t xml:space="preserve">                        Veterans' benefits</t>
  </si>
  <si>
    <t xml:space="preserve">                        Other</t>
  </si>
  <si>
    <t xml:space="preserve">                           Of which:</t>
  </si>
  <si>
    <r>
      <t xml:space="preserve">                               Economic impact payments</t>
    </r>
    <r>
      <rPr>
        <vertAlign val="superscript"/>
        <sz val="11"/>
        <color theme="1"/>
        <rFont val="Calibri"/>
        <family val="2"/>
        <scheme val="minor"/>
      </rPr>
      <t xml:space="preserve"> 5</t>
    </r>
  </si>
  <si>
    <r>
      <t xml:space="preserve">                               Lost wages supplemental payments </t>
    </r>
    <r>
      <rPr>
        <vertAlign val="superscript"/>
        <sz val="11"/>
        <color theme="1"/>
        <rFont val="Calibri"/>
        <family val="2"/>
        <scheme val="minor"/>
      </rPr>
      <t>6</t>
    </r>
  </si>
  <si>
    <r>
      <t xml:space="preserve">                               Paycheck Protection Program loans to NPISH </t>
    </r>
    <r>
      <rPr>
        <vertAlign val="superscript"/>
        <sz val="11"/>
        <color theme="1"/>
        <rFont val="Calibri"/>
        <family val="2"/>
        <scheme val="minor"/>
      </rPr>
      <t>2</t>
    </r>
  </si>
  <si>
    <r>
      <t xml:space="preserve">                               Provider Relief Fund to NPISH </t>
    </r>
    <r>
      <rPr>
        <vertAlign val="superscript"/>
        <sz val="11"/>
        <color theme="1"/>
        <rFont val="Calibri"/>
        <family val="2"/>
        <scheme val="minor"/>
      </rPr>
      <t>7</t>
    </r>
  </si>
  <si>
    <t xml:space="preserve">                Other current transfer receipts, from business (net)</t>
  </si>
  <si>
    <t xml:space="preserve">        Less: Contributions for government social insurance</t>
  </si>
  <si>
    <t>Less: Personal current taxes</t>
  </si>
  <si>
    <t>Equals: Disposable personal income (DPI)</t>
  </si>
  <si>
    <t>Less: Personal outlays</t>
  </si>
  <si>
    <t xml:space="preserve">        Personal consumption expenditures</t>
  </si>
  <si>
    <t xml:space="preserve">        Personal interest payments </t>
  </si>
  <si>
    <t xml:space="preserve">    Of which:</t>
  </si>
  <si>
    <r>
      <t xml:space="preserve">               Student loan forbearance</t>
    </r>
    <r>
      <rPr>
        <vertAlign val="superscript"/>
        <sz val="11"/>
        <rFont val="Calibri"/>
        <family val="2"/>
      </rPr>
      <t xml:space="preserve"> 8</t>
    </r>
  </si>
  <si>
    <t xml:space="preserve">        Personal current transfer payments</t>
  </si>
  <si>
    <t xml:space="preserve">                To government</t>
  </si>
  <si>
    <t xml:space="preserve">                To the rest of the world (net)</t>
  </si>
  <si>
    <t>Equals: Personal saving</t>
  </si>
  <si>
    <t>CARES</t>
  </si>
  <si>
    <t>-Coronavirus Aid, Relief, and Economic Security</t>
  </si>
  <si>
    <t>CCAdj</t>
  </si>
  <si>
    <t>-Capital consumption adjustment</t>
  </si>
  <si>
    <t>IVA</t>
  </si>
  <si>
    <t>-Inventory valuation adjustment</t>
  </si>
  <si>
    <t>NPISH</t>
  </si>
  <si>
    <t>-Nonprofit institutions serving households</t>
  </si>
  <si>
    <t xml:space="preserve">1. The Coronavirus Food Assistance Program, initially established by the CARES Act, provides direct support to farmers and ranchers where prices and market supply chains have been impacted </t>
  </si>
  <si>
    <t xml:space="preserve">     by the COVID-19 pandemic.</t>
  </si>
  <si>
    <t>2. The Paycheck Protection Program, initially established by the CARES Act, provides forgivable loans to help small businesses and nonprofit institutions make payroll and cover other expenses.</t>
  </si>
  <si>
    <r>
      <rPr>
        <sz val="11"/>
        <rFont val="Calibri"/>
        <family val="2"/>
        <scheme val="minor"/>
      </rPr>
      <t xml:space="preserve">     It also provides funding to reimburse private lending institutions for the costs of administering these loans. For more information, see</t>
    </r>
    <r>
      <rPr>
        <u/>
        <sz val="11"/>
        <color theme="10"/>
        <rFont val="Calibri"/>
        <family val="2"/>
        <scheme val="minor"/>
      </rPr>
      <t xml:space="preserve"> "How does the Paycheck Protection Program</t>
    </r>
  </si>
  <si>
    <r>
      <rPr>
        <sz val="11"/>
        <rFont val="Calibri"/>
        <family val="2"/>
        <scheme val="minor"/>
      </rPr>
      <t xml:space="preserve">     </t>
    </r>
    <r>
      <rPr>
        <u/>
        <sz val="11"/>
        <color theme="8" tint="-0.249977111117893"/>
        <rFont val="Calibri"/>
        <family val="2"/>
        <scheme val="minor"/>
      </rPr>
      <t xml:space="preserve">impact the national income </t>
    </r>
    <r>
      <rPr>
        <u/>
        <sz val="11"/>
        <color theme="10"/>
        <rFont val="Calibri"/>
        <family val="2"/>
        <scheme val="minor"/>
      </rPr>
      <t>and product accounts (NIPAs)?".</t>
    </r>
  </si>
  <si>
    <t>3. A two percent reduction in reimbursements paid to Medicare service providers that went into effect in 2013 was initially suspended by the CARES Act. The resulting increased reimbursement rates</t>
  </si>
  <si>
    <t xml:space="preserve">     went into effect beginning on May 1, 2020.</t>
  </si>
  <si>
    <r>
      <t xml:space="preserve">4. Unemployment insurance benefits were expanded through several programs that were initially established through the CARES Act. For more information, see </t>
    </r>
    <r>
      <rPr>
        <u/>
        <sz val="11"/>
        <color theme="8" tint="-0.249977111117893"/>
        <rFont val="Calibri"/>
        <family val="2"/>
        <scheme val="minor"/>
      </rPr>
      <t>"How will the expansion of</t>
    </r>
  </si>
  <si>
    <r>
      <rPr>
        <sz val="11"/>
        <color theme="10"/>
        <rFont val="Calibri"/>
        <family val="2"/>
        <scheme val="minor"/>
      </rPr>
      <t xml:space="preserve">    </t>
    </r>
    <r>
      <rPr>
        <u/>
        <sz val="11"/>
        <color theme="10"/>
        <rFont val="Calibri"/>
        <family val="2"/>
        <scheme val="minor"/>
      </rPr>
      <t>unemployment benefits in response to the COVID-19 pandemic be recorded in the NIPAs?".</t>
    </r>
  </si>
  <si>
    <r>
      <t xml:space="preserve">5. Economic impact payments, initially established by the CARES Act, provide direct payments to individuals. For more information, see </t>
    </r>
    <r>
      <rPr>
        <u/>
        <sz val="11"/>
        <color theme="8" tint="-0.249977111117893"/>
        <rFont val="Calibri"/>
        <family val="2"/>
        <scheme val="minor"/>
      </rPr>
      <t>"How are federal economic impact payments to support individuals</t>
    </r>
  </si>
  <si>
    <r>
      <rPr>
        <sz val="11"/>
        <color theme="8" tint="-0.249977111117893"/>
        <rFont val="Calibri"/>
        <family val="2"/>
        <scheme val="minor"/>
      </rPr>
      <t xml:space="preserve">     </t>
    </r>
    <r>
      <rPr>
        <u/>
        <sz val="11"/>
        <color theme="8" tint="-0.249977111117893"/>
        <rFont val="Calibri"/>
        <family val="2"/>
        <scheme val="minor"/>
      </rPr>
      <t>during the COVID-19 pandemic recorded in the NIPAs?".</t>
    </r>
  </si>
  <si>
    <t xml:space="preserve">6. The Federal Emergency Management Agency (FEMA) was authorized to make payments from the Disaster Relief Fund to supplement wages lost as a result of the COVID-19 pandemic. </t>
  </si>
  <si>
    <t>7. The Department of Health and Human Services distributes money from the Provider Relief Fund to hospitals and health care providers on the front lines of the coronavirus response. This funding</t>
  </si>
  <si>
    <t xml:space="preserve">     supports health care-related expenses or lost revenue attributable to COVID-19 and ensures uninsured Americans can get treatment for COVID-19. In the NIPAs, funds provided to nonprofit</t>
  </si>
  <si>
    <t xml:space="preserve">     hospitals are recorded as social benefits.</t>
  </si>
  <si>
    <r>
      <t xml:space="preserve">8. Interest payments due on certain categories of federally-held student loans were initially suspended by the CARES Act. For more information, see </t>
    </r>
    <r>
      <rPr>
        <u/>
        <sz val="11"/>
        <color theme="8" tint="-0.249977111117893"/>
        <rFont val="Calibri"/>
        <family val="2"/>
        <scheme val="minor"/>
      </rPr>
      <t>"How does the federal response to the COVID-19</t>
    </r>
  </si>
  <si>
    <r>
      <t xml:space="preserve">     </t>
    </r>
    <r>
      <rPr>
        <u/>
        <sz val="11"/>
        <color theme="8" tint="-0.249977111117893"/>
        <rFont val="Calibri"/>
        <family val="2"/>
        <scheme val="minor"/>
      </rPr>
      <t>pandemic affect BEA's estimate of personal interest payments?".</t>
    </r>
  </si>
  <si>
    <t>NOTE: For national statistics detailing the amount and sources of people’s incomes for each month, BEA publishes the total level of personal income at an annualized rate. BEA does this so that</t>
  </si>
  <si>
    <t>monthly estimates of personal income can be easily compared to quarterly estimates of personal income included in BEA's quarterly gross domestic product report, for example. To be</t>
  </si>
  <si>
    <r>
      <rPr>
        <sz val="11"/>
        <rFont val="Calibri"/>
        <family val="2"/>
        <scheme val="minor"/>
      </rPr>
      <t>consistent, the figures in this table also are annualized. For more information, see the FAQ</t>
    </r>
    <r>
      <rPr>
        <u/>
        <sz val="11"/>
        <color theme="10"/>
        <rFont val="Calibri"/>
        <family val="2"/>
        <scheme val="minor"/>
      </rPr>
      <t xml:space="preserve"> "Why does BEA publish estimates at annual rates?"</t>
    </r>
    <r>
      <rPr>
        <sz val="11"/>
        <rFont val="Calibri"/>
        <family val="2"/>
        <scheme val="minor"/>
      </rPr>
      <t xml:space="preserve"> on BEA's website.</t>
    </r>
  </si>
  <si>
    <t>Data on this table will be superseded by updated estimates.</t>
  </si>
  <si>
    <t>Source: U.S. Bureau of Economic Analysis</t>
  </si>
  <si>
    <t>May</t>
  </si>
  <si>
    <r>
      <t xml:space="preserve">Methodology: </t>
    </r>
    <r>
      <rPr>
        <sz val="11"/>
        <color theme="1"/>
        <rFont val="Arial"/>
        <family val="2"/>
      </rPr>
      <t>We take Haver's historical investment grants data and hold grants flat at the FY2020 average. We can update this when the data come in.</t>
    </r>
  </si>
  <si>
    <t>What we think the total through 2024 Q1 should be</t>
  </si>
  <si>
    <t>Total disbursed during COVID (2020 Q1 - 2024 Q1)</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</si>
  <si>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</si>
  <si>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</si>
  <si>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 xml:space="preserve">We judgementally bumped up federal purchases to help our June forecast stay consistent with the May one. </t>
  </si>
  <si>
    <t>PPP Loans to NPISH (Social Benefits)</t>
  </si>
  <si>
    <t>PPP Loans to Businesses (Subsidies)</t>
  </si>
  <si>
    <t>(Update when new data comes in!)</t>
  </si>
  <si>
    <t>January 2020 CBO Annual Medicare Spending</t>
  </si>
  <si>
    <t>Our projected total</t>
  </si>
  <si>
    <t>Total amount legislated (our projected total should match)</t>
  </si>
  <si>
    <t>(Billions of dollars, seasonally adjusted at annual rates)</t>
  </si>
  <si>
    <r>
      <t xml:space="preserve">Methodology: </t>
    </r>
    <r>
      <rPr>
        <sz val="11"/>
        <color theme="1"/>
        <rFont val="Calibri"/>
        <family val="2"/>
        <scheme val="minor"/>
      </rPr>
      <t xml:space="preserve">Before the BEA releases data on a quarter, we can use their monthly estimates of "Effects of Selected Federal Pandemic Response Programs on Personal Income" to inform our assumptions about the quarter. We can use data from the first two months of the quarter to see what the June number would have to be to match our forecast (Implied June = our forecasted total for the quarter minus BEA's April and May), and decide whether that makes sense to us or not. </t>
    </r>
  </si>
  <si>
    <t>Monthly Personal Income Data</t>
  </si>
  <si>
    <r>
      <t xml:space="preserve">Run fim/data-raw/00_pre_process.R. Then run fim/data-raw/national_accounts.R. Then run Control-Shift-L in the console. Then run fim/data-raw/haver_pivoted.R. </t>
    </r>
    <r>
      <rPr>
        <b/>
        <sz val="11"/>
        <color theme="1"/>
        <rFont val="Calibri"/>
        <family val="2"/>
        <scheme val="minor"/>
      </rPr>
      <t xml:space="preserve">Copy paste </t>
    </r>
    <r>
      <rPr>
        <sz val="11"/>
        <color theme="1"/>
        <rFont val="Calibri"/>
        <family val="2"/>
        <scheme val="minor"/>
      </rPr>
      <t xml:space="preserve">the new data (Paste Values) from the excel sheet generated by the script into "Haver Pivoted"-- don't drag and drop the new sheet in, the other sheets won't call the data properly otherwise. The Haver codes should be read in in the </t>
    </r>
    <r>
      <rPr>
        <b/>
        <sz val="11"/>
        <color theme="1"/>
        <rFont val="Calibri"/>
        <family val="2"/>
        <scheme val="minor"/>
      </rPr>
      <t xml:space="preserve">same order </t>
    </r>
    <r>
      <rPr>
        <sz val="11"/>
        <color theme="1"/>
        <rFont val="Calibri"/>
        <family val="2"/>
        <scheme val="minor"/>
      </rPr>
      <t>each update.</t>
    </r>
  </si>
  <si>
    <r>
      <t>Create a copy of the last update's spreadsheet (</t>
    </r>
    <r>
      <rPr>
        <b/>
        <sz val="11"/>
        <color theme="1"/>
        <rFont val="Calibri"/>
        <family val="2"/>
        <scheme val="minor"/>
      </rPr>
      <t>don't overwrite</t>
    </r>
    <r>
      <rPr>
        <sz val="11"/>
        <color theme="1"/>
        <rFont val="Calibri"/>
        <family val="2"/>
        <scheme val="minor"/>
      </rPr>
      <t xml:space="preserve"> last month's-- we want to save that as a reference) and rename it forecast_</t>
    </r>
    <r>
      <rPr>
        <i/>
        <sz val="11"/>
        <color theme="1"/>
        <rFont val="Calibri"/>
        <family val="2"/>
        <scheme val="minor"/>
      </rPr>
      <t>month_date</t>
    </r>
    <r>
      <rPr>
        <sz val="11"/>
        <color theme="1"/>
        <rFont val="Calibri"/>
        <family val="2"/>
        <scheme val="minor"/>
      </rPr>
      <t xml:space="preserve">.xlsx. In the Revisions,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t>
    </r>
  </si>
  <si>
    <t>Leave any notes about the revision here.</t>
  </si>
  <si>
    <t>Monthly Personal Income Sheet</t>
  </si>
  <si>
    <t xml:space="preserve">Before the BEA releases data on a quarter, we can use their monthly estimates of "Effects of Selected Federal Pandemic Response Programs on Personal Income" to inform our assumptions about the quarter. </t>
  </si>
  <si>
    <t xml:space="preserve">If this table has been released, insert the latest month of data into the sheet as a new column (see Monthly Personal Income sheet). </t>
  </si>
  <si>
    <t>What do we need to discuss? Any changes to take note of in the next update?</t>
  </si>
  <si>
    <t>Coronavirus Fiscal Recovery Fund and other ARP</t>
  </si>
  <si>
    <t>BEA doesn't count the timing shift due to COVID Legislation, so we adjust the numbers to make them comparable to BEA's</t>
  </si>
  <si>
    <t>BEA's Average</t>
  </si>
  <si>
    <t>Timing shift due to COVID legislation</t>
  </si>
  <si>
    <t>CBO less legislation timing shift</t>
  </si>
  <si>
    <t xml:space="preserve">CBO is too different from the NIPA, so we decided to use the pre-pandemic CBO </t>
  </si>
  <si>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2021, so we subtract $16 billion in 2022 onwards to reflect that higher level now because of lack of sequestration.  																							
												</t>
    </r>
    <r>
      <rPr>
        <b/>
        <sz val="11"/>
        <color theme="1"/>
        <rFont val="Arial"/>
        <family val="2"/>
      </rPr>
      <t xml:space="preserve">											
																							</t>
    </r>
  </si>
  <si>
    <t>State government employment</t>
  </si>
  <si>
    <t>Local government employment</t>
  </si>
  <si>
    <t>Haver codes below, but we don't pull monthly data into Haver Pivoted</t>
  </si>
  <si>
    <t>State and Local Construction (Millions)</t>
  </si>
  <si>
    <t>Monthly State and Local Employment, for Reference</t>
  </si>
  <si>
    <t>State Government Employment (Thousands)</t>
  </si>
  <si>
    <t>Local Government Employment (Thousands)</t>
  </si>
  <si>
    <t>July CBO Projection of Federal Purchases</t>
  </si>
  <si>
    <t>July CBO Federal Purchases Growth</t>
  </si>
  <si>
    <t>July CBO Projected State Purchases</t>
  </si>
  <si>
    <t>July CBO Projected State Purchases Growth (annualized)</t>
  </si>
  <si>
    <t>ASK IF WE WANT TO KEEP THESE. I THINK BETTER TO ADJUST THESE IN THE CODE/we'll need to adjust the reference sheets if we change them, this has the potential to get out of date.</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</si>
  <si>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</si>
  <si>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</si>
  <si>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 xml:space="preserve">For a revision, we'll typically just edit the write up from the first release of quarterly data. </t>
  </si>
  <si>
    <t xml:space="preserve">See Hutchins Center Documents/Projects/Fiscal Impact/Updating the Fiscal Impact Measure.docx </t>
  </si>
  <si>
    <t>Former write ups can be found in Hutchins Center Documents/Projects/Fiscal Impact/Write Ups</t>
  </si>
  <si>
    <t xml:space="preserve">The FIM interactive and write up is posted on the Brookings website through Wordpress. </t>
  </si>
  <si>
    <t xml:space="preserve">Construction </t>
  </si>
  <si>
    <t>GDP</t>
  </si>
  <si>
    <t>Real GDP</t>
  </si>
  <si>
    <t>Consumption</t>
  </si>
  <si>
    <t>Real Consumption</t>
  </si>
  <si>
    <t>Personal Payments</t>
  </si>
  <si>
    <t>Personal Taxes</t>
  </si>
  <si>
    <t>Government purchases</t>
  </si>
  <si>
    <t>Social Insurance Payment</t>
  </si>
  <si>
    <t>Real Federal Purchases</t>
  </si>
  <si>
    <t>Real State Purchases</t>
  </si>
  <si>
    <t>State Expenditures</t>
  </si>
  <si>
    <t>Federal Subsidies</t>
  </si>
  <si>
    <t>State Subsidies</t>
  </si>
  <si>
    <t>Medicare Reimbursement Increase</t>
  </si>
  <si>
    <t>UI Expansion</t>
  </si>
  <si>
    <t xml:space="preserve">Real Potential GDP </t>
  </si>
  <si>
    <t>Potential GDP</t>
  </si>
  <si>
    <t>Recession Shading</t>
  </si>
  <si>
    <t>CPI</t>
  </si>
  <si>
    <t>Total Medicaid (Federal/FMAP)</t>
  </si>
  <si>
    <t>Download the new CBO Ten-Year Budget Baseline and Ten-Year Economic Projections</t>
  </si>
  <si>
    <t>Checking our forecasts of the components of the FIM:</t>
  </si>
  <si>
    <t>Updating the spreadsheet</t>
  </si>
  <si>
    <t>July Non-ARP Federal Purchases (NIPA consistent)</t>
  </si>
  <si>
    <t>Social Security (July 2021 CBO)</t>
  </si>
  <si>
    <t>Read the BEA news release for the revision</t>
  </si>
  <si>
    <t>Calculating the FIM</t>
  </si>
  <si>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just creates a table with last month's FIM, this month's FIM, and the differences between them. </t>
  </si>
  <si>
    <r>
      <t>Open up the fim R project. Type "CTRL + SHIFT + L" to load the fim package. Open fiscal_impact.R. This is the main script that we use to calculate the FIM. The only edit you need to make to this script on a regular basis is to update which forecast spreadsheet is being read into the code-- wherever forecast_</t>
    </r>
    <r>
      <rPr>
        <i/>
        <sz val="11"/>
        <color theme="1"/>
        <rFont val="Calibri"/>
        <family val="2"/>
        <scheme val="minor"/>
      </rPr>
      <t>month_year.</t>
    </r>
    <r>
      <rPr>
        <sz val="11"/>
        <color theme="1"/>
        <rFont val="Calibri"/>
        <family val="2"/>
        <scheme val="minor"/>
      </rPr>
      <t xml:space="preserve">xlsx is called, update the month and year to the appropriate date. </t>
    </r>
  </si>
  <si>
    <t>Generating comparison tables between the previous and new FIMs</t>
  </si>
  <si>
    <t>Compare_update.RMD is an R markdown script that generates graphs comparing last month and this month's components of the FIM. These help us to check for errors and see how much our forecast has changed since the last update. Go through this with Louise.</t>
  </si>
  <si>
    <t xml:space="preserve">Run and knit compare_update.RMD. </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</si>
  <si>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</si>
  <si>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</si>
  <si>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</si>
  <si>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</si>
  <si>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r>
      <t>Create a copy of the last update's spreadsheet (</t>
    </r>
    <r>
      <rPr>
        <b/>
        <sz val="11"/>
        <color rgb="FF000000"/>
        <rFont val="Calibri"/>
        <family val="2"/>
      </rPr>
      <t>don't overwrite</t>
    </r>
    <r>
      <rPr>
        <sz val="11"/>
        <color theme="1"/>
        <rFont val="Calibri"/>
        <family val="2"/>
        <scheme val="minor"/>
      </rPr>
      <t xml:space="preserve"> last month's-- we want to save that as a reference) and rename it forecast_</t>
    </r>
    <r>
      <rPr>
        <i/>
        <sz val="11"/>
        <color rgb="FF000000"/>
        <rFont val="Calibri"/>
        <family val="2"/>
      </rPr>
      <t>month_date</t>
    </r>
    <r>
      <rPr>
        <sz val="11"/>
        <color theme="1"/>
        <rFont val="Calibri"/>
        <family val="2"/>
        <scheme val="minor"/>
      </rPr>
      <t xml:space="preserve">.xlsx.  Next, in each forecast sheet, drag forward EVERY row that calls Haver Pivoted (you can identify those by the haver codes written next to the variable name)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r>
  </si>
  <si>
    <r>
      <t xml:space="preserve">Run fim/data-raw/00_pre_process.R. Then run fim/data-raw/national_accounts.R. Then run Control-Shift-L in the console. Then run fim/data-raw/haver_pivoted.R. </t>
    </r>
    <r>
      <rPr>
        <b/>
        <sz val="11"/>
        <color rgb="FF000000"/>
        <rFont val="Calibri"/>
        <family val="2"/>
      </rPr>
      <t xml:space="preserve">Copy paste </t>
    </r>
    <r>
      <rPr>
        <sz val="11"/>
        <color theme="1"/>
        <rFont val="Calibri"/>
        <family val="2"/>
        <scheme val="minor"/>
      </rPr>
      <t xml:space="preserve">the new data (Paste Values) from the excel sheet generated by the script into "Haver Pivoted"-- don't drag and drop the new sheet in, the other sheets won't call the data properly otherwise. The Haver codes should be read in in the </t>
    </r>
    <r>
      <rPr>
        <b/>
        <sz val="11"/>
        <color rgb="FF000000"/>
        <rFont val="Calibri"/>
        <family val="2"/>
      </rPr>
      <t xml:space="preserve">same order </t>
    </r>
    <r>
      <rPr>
        <sz val="11"/>
        <color theme="1"/>
        <rFont val="Calibri"/>
        <family val="2"/>
        <scheme val="minor"/>
      </rPr>
      <t>each update.</t>
    </r>
  </si>
  <si>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</si>
  <si>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July 2021 CBO Annual Medicare Spending</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</si>
  <si>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</si>
  <si>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2021-06</t>
  </si>
  <si>
    <t>Prepare this month's spreadsheet for a new quarter of data to be read in from haver (DO AHEAD OF TIME)</t>
  </si>
  <si>
    <t>Prepare the Revisions sheet for the new quarter (DO AHEAD OF TIME)</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</si>
  <si>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</si>
  <si>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Guide to the FIM Forecast Spreadsheet</t>
  </si>
  <si>
    <t>Sheets:</t>
  </si>
  <si>
    <t>Checklist (New Quarter Release)</t>
  </si>
  <si>
    <t>Checklist (Monthly Revision)</t>
  </si>
  <si>
    <t>Checklist (CBO Budget Release)</t>
  </si>
  <si>
    <t>Revisions</t>
  </si>
  <si>
    <t>Monthly Personal Income</t>
  </si>
  <si>
    <t>Forecast</t>
  </si>
  <si>
    <t>Historical Overrides</t>
  </si>
  <si>
    <t>Haver Pivoted</t>
  </si>
  <si>
    <t>Cares Act Scores</t>
  </si>
  <si>
    <t>Response and Relief Act Score</t>
  </si>
  <si>
    <t>ARP Score</t>
  </si>
  <si>
    <t>ARP Timing</t>
  </si>
  <si>
    <t>ARP Quarterly</t>
  </si>
  <si>
    <t xml:space="preserve">Deflators </t>
  </si>
  <si>
    <t>Checklist of steps to follow when the BEA releases its advance estimate of a new quarter's data</t>
  </si>
  <si>
    <t>Checklist of steps to follow for BEA's two revisions of a quarter's data</t>
  </si>
  <si>
    <t>Checklist of steps to follow when the CBO releases a new Ten-Year Economic and Budget Projections</t>
  </si>
  <si>
    <t>The deflators we use, for reference. Similar to the MPC sheet I think we should either delete or edit for the whole FIM in here.</t>
  </si>
  <si>
    <t>Grants - Provider Relief</t>
  </si>
  <si>
    <t>Our projection for the components of the FIM, calling from our forecast sheets; this is what we read into the code</t>
  </si>
  <si>
    <t>Calls from the Grants forecast sheet. We override BEA data for 2020 consumption grants because BEA puts it all in the first quarter; we spread it out over four. This also is read into the code.</t>
  </si>
  <si>
    <t>Quarterly spending out of the ARP; this is where we call scores of ARP components from in other sheets. Generally you won't touch this.</t>
  </si>
  <si>
    <t>Timing MPCs that we use to spread out ARP Score's fiscal year totals into quarters in ARP Quarterly. Generally you won't touch this.</t>
  </si>
  <si>
    <t>CBO's ten-year score of the ARP; annual spending and revenues by fiscal year. Generally you won't touch this.</t>
  </si>
  <si>
    <t>Each of these sheets generates our forecast for one (or a few) of the variables that we read into the code in the forecast sheet; our methodology for doing so is documented at the top of each. This is the part of the sheet that you will work with and edit each update.</t>
  </si>
  <si>
    <t>BEA data read in from Haver; called by Revisions and Grants-Provider Relief to generate our forecasts. We copy and paste updated data into this sheet each time there's a new BEA release.</t>
  </si>
  <si>
    <t xml:space="preserve">A comparison of BEA's revisions for the latest quarter of data update to update. </t>
  </si>
  <si>
    <t>Monthly BEA Personal Income data we use to help us forecast the upcoming quarter of data before BEA's advance estimate comes out.</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</si>
  <si>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</si>
  <si>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</si>
  <si>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Year-quarters in all the main tables of the forecast sheets are in the same columns across sheets (i.e. 2021 Q2 is in column N across sheets for the main forecast tables).</t>
  </si>
  <si>
    <t>Update the Methodology cell at the top of each forecast sheet anytime we change how we forecast a component. This is important so that we don't forget what we've done!</t>
  </si>
  <si>
    <t xml:space="preserve">Any rows with haver codes next to the variable call from Haver Pivoted in the historical period. </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</si>
  <si>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aren't read in automatically!</t>
  </si>
  <si>
    <t xml:space="preserve">Conventions (please stick to these when editing the sheet to keep things organized) </t>
  </si>
  <si>
    <t>This is the CBO ten-year score for three pieces of Covid legislation not incorporated in CBO's March 2020 baseline. It's mainly CARES. Generally you won't touch this.</t>
  </si>
  <si>
    <t>This is the CFRB's ten-year score of the Response and Relief Act from December 2020; in this sheet we group the score into our FIM categories. Generally you won't touch this.</t>
  </si>
  <si>
    <t>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t>
  </si>
  <si>
    <t>Download the latest files at: 
https://www.cbo.gov/data/budget-economic-data</t>
  </si>
  <si>
    <t>Update the code</t>
  </si>
  <si>
    <t>Update inst/extdata/projections.xlsx with the new CBO numbers (copy paste values only); then run data-raw/projections.R</t>
  </si>
  <si>
    <t>CBO GDP and inflation projections are used in the part of the FIM calculated in the code. Raw CBO data is updated in a file called projections.xlsx, then we run a script to read it in as a dataframe that will be pulled in when we run the FIM code at the end of the CBO update.</t>
  </si>
  <si>
    <t>Throughout the forecast spreadsheets, we use CBO projections to forecast certain FIM components. Every row taken from CBO will be marked as such, with comments indicating which update, table and row the numbers are from to make it easier to find. What I usually do is insert a row below every CBO row to put in the updated CBO data (for example, if the new update is July and the last update is February, I put the equivalent July numbers below every row from February so that we can see how the CBO has revised their forecast. Then, we go through each part of the sheet that uses CBO with Louise, and decide how we want to change the forecast or simply update the old CBO rows with new CBO projections, based on the CBO revisions. Make sure to label the old and new CBO numbers clearly!</t>
  </si>
  <si>
    <t>Run the code</t>
  </si>
  <si>
    <t>Look at the comparison graphs</t>
  </si>
  <si>
    <t>Run fiscal_impact.R (the main FIM script). The output will incorporate both the CBO changes to the spreadsheet and the new inflation and GDP forecast.</t>
  </si>
  <si>
    <t xml:space="preserve">Run and knit compare-update.R and go over the changes from the last update that are due to the CBO with Louise. Make sure everything looks normal. These changes will be published along with the next monthly update. </t>
  </si>
  <si>
    <t>Run fiscal_impact.R</t>
  </si>
  <si>
    <t>Run compare_update.R</t>
  </si>
  <si>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ARP)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</si>
  <si>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t>Forecast Comparison</t>
  </si>
  <si>
    <t>This sheet shows how our forecast comparison has changed since the last update.</t>
  </si>
  <si>
    <t>Prepare the Forecast Comparison sheet (DO AHEAD OF TIME)</t>
  </si>
  <si>
    <t>Prepare this month's spreadsheet and Revisions sheet (DO AHEAD OF TIME)</t>
  </si>
  <si>
    <t>Prepare the Forecast Comparison sheet</t>
  </si>
  <si>
    <t>Level Differences</t>
  </si>
  <si>
    <t>Percent Differences</t>
  </si>
  <si>
    <t>This sheet shows us how much our forecast (what is read into the code) has changed since the last update, in level and percent differences.</t>
  </si>
  <si>
    <t>Copy past the forecast table from the most recent update (Past Values Only) into the "Previous Forecast" table.</t>
  </si>
  <si>
    <t>This sheet we only use for monthly revisions, and not for a new quarter release. However we do need to update what quarter in Haver Pivoted is called in the "Current Update" column.</t>
  </si>
  <si>
    <t>2021 Q2 + Current Forecast</t>
  </si>
  <si>
    <r>
      <rPr>
        <b/>
        <sz val="11"/>
        <color theme="1"/>
        <rFont val="Arial"/>
        <family val="2"/>
      </rPr>
      <t xml:space="preserve">Methodology: </t>
    </r>
    <r>
      <rPr>
        <sz val="11"/>
        <color theme="1"/>
        <rFont val="Arial"/>
        <family val="2"/>
      </rPr>
      <t xml:space="preserve">Our forecast of Federal Social Benefits is Federal Social Benefits less UI, Medicare, Rebate Checks and Other Legislation (Row 21) plus SNAP due to Covid (Row 16). SNAP due to COVID is calculated in Table 4. For history, Federal Social Benefits minus UI, Medicare and rebate checks, and other legislation (Row 21) is defined based on the sum of UI, Medicare, Rebate checks, SNAP, PPP to NPISH, Provider Relief to NPISH, Total Other ARP, and Total Other non-ARP legislation (calculated in Table 3). For the forecast, Q2 through Q4 is defined as the value from </t>
    </r>
    <r>
      <rPr>
        <sz val="11"/>
        <rFont val="Arial"/>
        <family val="2"/>
      </rPr>
      <t>Q1 plus the change in level from Q1 through Q4 of the previous year</t>
    </r>
    <r>
      <rPr>
        <sz val="11"/>
        <color theme="1"/>
        <rFont val="Arial"/>
        <family val="2"/>
      </rPr>
      <t xml:space="preserve"> (divided by 3 to get the quarterly growth rate). Q1 forecasts are made based on the previous year's Q1 level, grown by the CBO annual growth rate. This is done because we think that social benefits follow a pattern of growing in Q1 and staying relatively flat over the rest of the year.  We use pre-pandemic growth (bc we don't want to account for legislation) for all but social security, which wasn't affected by the pandemic. State social benefits are taken from BEA and split into the sum of total medicaid (from medicaid sheet) and state social benefits ex medicaid. The forecast for Medicaid comes from the Medicaid sheet and the forecast for state social benefits ex medicaid is based on the average growth rate from the last 4 quarters before COVID-19 (2019Q2:2020Q1).</t>
    </r>
  </si>
  <si>
    <t>.</t>
  </si>
  <si>
    <t>CBO Unemployment Rate Projection</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</si>
  <si>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</si>
  <si>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Yes</t>
  </si>
  <si>
    <t>Real gross domestic product (GDP) increased at an annual rate of 6.5 percent in the second quarter of 2021
The increase in real GDP in the second quarter reflected increases in personal consumption expenditures (PCE), nonresidential fixed investment, exports, and state and local government spending that were partly offset by decreases in private inventory investment, residential fixed investment, and federal government spending.
The increase in second quarter GDP reflected the continued economic recovery, reopening of establishments, and continued government response related to the COVID-19 pandemic. In the second quarter, government assistance payments in the form of loans to businesses and grants to state and local governments increased, while social benefits to households, such as the direct economic impact payments, declined.</t>
  </si>
  <si>
    <t>Also added a Restaurant Revitalization Fund-- but we don't see that in Haver</t>
  </si>
  <si>
    <t>they had not been including the EIDL loans at all in previous releases. If you look at the historical data, the overall subsidies line was revised upwards with the inclusion of this new row</t>
  </si>
  <si>
    <t>gfegc after 2020 Q2</t>
  </si>
  <si>
    <t>Add Factor on Other ARP aid to S+L to match data</t>
  </si>
  <si>
    <t xml:space="preserve">We changed our EDF assumptions to match the BEA data that came in 2021Q2. </t>
  </si>
  <si>
    <t>Restaurant Revitalization Fund</t>
  </si>
  <si>
    <t>Resumption of Sequester</t>
  </si>
  <si>
    <t>Higher COVID Payment Rates</t>
  </si>
  <si>
    <t>Medicare ex COVID Payment Rates</t>
  </si>
  <si>
    <t>get aver code</t>
  </si>
  <si>
    <t xml:space="preserve">Total Medicaid </t>
  </si>
  <si>
    <t>** CBO put delayed social security payments in individual for some reason</t>
  </si>
  <si>
    <t>Corporate Income</t>
  </si>
  <si>
    <t>Wage and Salaries</t>
  </si>
  <si>
    <t>Prop Income</t>
  </si>
  <si>
    <t>Rental income</t>
  </si>
  <si>
    <t>Asset Income</t>
  </si>
  <si>
    <t>BEA "Taxable Personal Income" (estimate)</t>
  </si>
  <si>
    <t>Our NIPA Consistent growth</t>
  </si>
  <si>
    <t>arp coronavirus relief fund MPC</t>
  </si>
  <si>
    <t>Spending out of  education stabilization and other ARP grant</t>
  </si>
  <si>
    <t>** when extend, make it add to 1</t>
  </si>
  <si>
    <t>Separate Accounting</t>
  </si>
  <si>
    <t>restaurant</t>
  </si>
  <si>
    <t>Divide out Subsidies ex provider relief</t>
  </si>
  <si>
    <t>T6</t>
  </si>
  <si>
    <t>T6, Sec. 6001</t>
  </si>
  <si>
    <t>Restaurant Revitalization Fund (include grants to venues, which is small)</t>
  </si>
  <si>
    <t xml:space="preserve">support for transit </t>
  </si>
  <si>
    <t>Pensions</t>
  </si>
  <si>
    <t>Subsidies ex Provider Relief and PPP</t>
  </si>
  <si>
    <t>health_outlays</t>
  </si>
  <si>
    <t>corporate_taxes</t>
  </si>
  <si>
    <t>non_corporate_taxes</t>
  </si>
  <si>
    <t>ui</t>
  </si>
  <si>
    <t>social_benefits</t>
  </si>
  <si>
    <t>subsidies</t>
  </si>
  <si>
    <t>ui_arp</t>
  </si>
  <si>
    <t>other_vulnerable_arp</t>
  </si>
  <si>
    <t>other_direct_aid_arp</t>
  </si>
  <si>
    <t>aid_to_small_businesses_arp</t>
  </si>
  <si>
    <t>MPCs for the spending out of our forecast variables, where applicable. We edit them here and the sheet is read into the code.</t>
  </si>
  <si>
    <t>MPC</t>
  </si>
  <si>
    <t>July 2021 CBO Projections of Federal Taxes (Fiscal Years)</t>
  </si>
  <si>
    <t>Previous Forecast (forecast_07_2021)</t>
  </si>
  <si>
    <t>Other ARP Subsidies (not elsewhere classified)</t>
  </si>
  <si>
    <t>CBO Score of ARPA</t>
  </si>
  <si>
    <t>Support for Transit</t>
  </si>
  <si>
    <t>Restaurant Revitalization Fund (includes grants to venues, which is small)</t>
  </si>
  <si>
    <t>Excise + Customs</t>
  </si>
  <si>
    <t>Excise</t>
  </si>
  <si>
    <t>Customs</t>
  </si>
  <si>
    <t>"Taxable Personal Income"</t>
  </si>
  <si>
    <t>July 2021 CBO FY Average Economic Projections</t>
  </si>
  <si>
    <t>Comparing the BEA and CBO tax revenues</t>
  </si>
  <si>
    <t>Wages and Salaries</t>
  </si>
  <si>
    <t>Personal Consumption</t>
  </si>
  <si>
    <t>Corporate Profits, with IVA and CCAdj</t>
  </si>
  <si>
    <t>In the historical period, we multiply our tax rates from CBO by the ratio of CBO and BEA tax rates to get annual BEA tax rates. The projection is Louise's judgement, guided by projected CBO tax rates.</t>
  </si>
  <si>
    <t>Corporate Profits</t>
  </si>
  <si>
    <t>Wages and Salaries (CBO pre-Q2 release and annual revisions)</t>
  </si>
  <si>
    <t>Nonwage Income (CBO pre-Q2 release and annual revisions)</t>
  </si>
  <si>
    <t>ASK LOUISE</t>
  </si>
  <si>
    <t>Corporate Profits with IVA and CCADJ</t>
  </si>
  <si>
    <t>Federal Tax Rates</t>
  </si>
  <si>
    <t>BEA Quarterly</t>
  </si>
  <si>
    <t>State Tax Rates</t>
  </si>
  <si>
    <t>Federal Tax Base</t>
  </si>
  <si>
    <t>July 2021 CBO Tax Base Quarterly Projections</t>
  </si>
  <si>
    <r>
      <rPr>
        <b/>
        <sz val="11"/>
        <color theme="1"/>
        <rFont val="Arial"/>
        <family val="2"/>
      </rPr>
      <t xml:space="preserve">Methodology: </t>
    </r>
    <r>
      <rPr>
        <sz val="11"/>
        <color theme="1"/>
        <rFont val="Arial"/>
        <family val="2"/>
      </rPr>
      <t xml:space="preserve">Federal taxes are grown by the growth rates of CBO's quarterly projections of the tax base (see Table 3). State taxes are grown by the CBO projected tax base times our projection of the BEA's state tax rates (see Table 2). The other tables are here for reference/Louise's judgemental calculations. </t>
    </r>
  </si>
  <si>
    <t>haver?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</si>
</sst>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_(&quot;$&quot;* \(#,##0.00\);_(&quot;$&quot;* &quot;-&quot;??_);_(@_)"/>
    <numFmt numFmtId="43" formatCode="_(* #,##0.00_);_(* \(#,##0.00\);_(* &quot;-&quot;??_);_(@_)"/>
    <numFmt numFmtId="164" formatCode="0.0"/>
    <numFmt numFmtId="165" formatCode="#,##0.000"/>
    <numFmt numFmtId="166" formatCode="#,##0.0"/>
    <numFmt numFmtId="167" formatCode="0.0%"/>
    <numFmt numFmtId="168" formatCode="0.000"/>
    <numFmt numFmtId="169" formatCode="yyyy\-mm\-dd"/>
    <numFmt numFmtId="170" formatCode="0.00000000000000"/>
    <numFmt numFmtId="171" formatCode="0_);\(0\)"/>
    <numFmt numFmtId="172" formatCode="0.0000"/>
    <numFmt numFmtId="173" formatCode="0.0000000000000"/>
    <numFmt numFmtId="174" formatCode="[$-409]mmmm\ d\,\ yyyy;@"/>
    <numFmt numFmtId="175" formatCode="0.00_);\(0.00\)"/>
  </numFmts>
  <fonts count="93">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
      <sz val="10"/>
      <color theme="1"/>
      <name val="Arial"/>
      <family val="2"/>
    </font>
    <font>
      <sz val="10"/>
      <color rgb="FF000000"/>
      <name val="Arial"/>
      <family val="2"/>
    </font>
    <font>
      <sz val="8"/>
      <color rgb="FF000000"/>
      <name val="Arial"/>
      <family val="2"/>
    </font>
    <font>
      <b/>
      <i/>
      <sz val="8"/>
      <color rgb="FF980000"/>
      <name val="Arial"/>
      <family val="2"/>
    </font>
    <font>
      <sz val="10"/>
      <color rgb="FF980000"/>
      <name val="Arial"/>
      <family val="2"/>
    </font>
    <font>
      <sz val="11"/>
      <color rgb="FF980000"/>
      <name val="Calibri"/>
      <family val="2"/>
    </font>
    <font>
      <sz val="9"/>
      <color rgb="FF000000"/>
      <name val="Arial"/>
      <family val="2"/>
    </font>
    <font>
      <b/>
      <i/>
      <sz val="8"/>
      <color rgb="FF000000"/>
      <name val="Arial"/>
      <family val="2"/>
    </font>
    <font>
      <b/>
      <sz val="10"/>
      <color theme="1"/>
      <name val="Arial"/>
      <family val="2"/>
    </font>
    <font>
      <sz val="11"/>
      <color theme="1"/>
      <name val="Arial"/>
      <family val="2"/>
    </font>
    <font>
      <sz val="12"/>
      <name val="Arial"/>
      <family val="2"/>
    </font>
    <font>
      <sz val="10"/>
      <name val="Arial"/>
      <family val="2"/>
    </font>
    <font>
      <sz val="12"/>
      <color theme="1"/>
      <name val="Calibri"/>
      <family val="2"/>
      <scheme val="minor"/>
    </font>
    <font>
      <u/>
      <sz val="10"/>
      <color theme="10"/>
      <name val="Arial"/>
      <family val="2"/>
    </font>
    <font>
      <sz val="11"/>
      <color theme="3"/>
      <name val="Arial"/>
      <family val="2"/>
    </font>
    <font>
      <sz val="11"/>
      <name val="Arial"/>
      <family val="2"/>
    </font>
    <font>
      <b/>
      <sz val="11"/>
      <name val="Arial"/>
      <family val="2"/>
    </font>
    <font>
      <u/>
      <sz val="11"/>
      <color theme="10"/>
      <name val="Calibri"/>
      <family val="2"/>
    </font>
    <font>
      <u/>
      <sz val="12"/>
      <color theme="10"/>
      <name val="Arial"/>
      <family val="2"/>
    </font>
    <font>
      <u/>
      <sz val="10"/>
      <color indexed="12"/>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1"/>
      <color indexed="8"/>
      <name val="Calibri"/>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2"/>
      <name val="Times New Roman"/>
      <family val="1"/>
    </font>
    <font>
      <sz val="10"/>
      <name val="MS Sans Serif"/>
      <family val="2"/>
    </font>
    <font>
      <b/>
      <sz val="10"/>
      <color rgb="FF3F3F3F"/>
      <name val="Arial"/>
      <family val="2"/>
    </font>
    <font>
      <sz val="10"/>
      <color rgb="FFFF0000"/>
      <name val="Arial"/>
      <family val="2"/>
    </font>
    <font>
      <u/>
      <sz val="11"/>
      <color theme="10"/>
      <name val="Calibri"/>
      <family val="2"/>
      <scheme val="minor"/>
    </font>
    <font>
      <sz val="12"/>
      <name val="Courier"/>
      <family val="3"/>
    </font>
    <font>
      <sz val="10"/>
      <color indexed="8"/>
      <name val="Arial"/>
      <family val="2"/>
    </font>
    <font>
      <sz val="11"/>
      <color rgb="FF000000"/>
      <name val="Calibri"/>
      <family val="2"/>
      <scheme val="minor"/>
    </font>
    <font>
      <sz val="11"/>
      <color rgb="FF333333"/>
      <name val="Arial"/>
      <family val="2"/>
    </font>
    <font>
      <b/>
      <i/>
      <sz val="11"/>
      <color theme="1"/>
      <name val="Calibri"/>
      <family val="2"/>
      <scheme val="minor"/>
    </font>
    <font>
      <b/>
      <sz val="11"/>
      <color theme="1"/>
      <name val="Arial"/>
      <family val="2"/>
    </font>
    <font>
      <i/>
      <sz val="11"/>
      <color theme="1"/>
      <name val="Arial"/>
      <family val="2"/>
    </font>
    <font>
      <sz val="10"/>
      <name val="Arial"/>
      <family val="2"/>
    </font>
    <font>
      <sz val="16"/>
      <color theme="1"/>
      <name val="Arial"/>
      <family val="2"/>
    </font>
    <font>
      <sz val="8"/>
      <name val="Calibri"/>
      <family val="2"/>
      <scheme val="minor"/>
    </font>
    <font>
      <sz val="11"/>
      <color rgb="FF393B3E"/>
      <name val="Arial"/>
      <family val="2"/>
    </font>
    <font>
      <sz val="11"/>
      <color rgb="FF000000"/>
      <name val="Arial"/>
      <family val="2"/>
    </font>
    <font>
      <i/>
      <sz val="11"/>
      <name val="Arial"/>
      <family val="2"/>
    </font>
    <font>
      <vertAlign val="superscript"/>
      <sz val="11"/>
      <name val="Arial"/>
      <family val="2"/>
    </font>
    <font>
      <b/>
      <sz val="11"/>
      <color theme="0"/>
      <name val="Arial"/>
      <family val="2"/>
    </font>
    <font>
      <b/>
      <i/>
      <sz val="11"/>
      <color theme="1"/>
      <name val="Arial"/>
      <family val="2"/>
    </font>
    <font>
      <i/>
      <sz val="11"/>
      <color rgb="FF000000"/>
      <name val="Arial"/>
      <family val="2"/>
    </font>
    <font>
      <sz val="11"/>
      <color rgb="FF1F497D"/>
      <name val="Arial"/>
      <family val="2"/>
    </font>
    <font>
      <vertAlign val="superscript"/>
      <sz val="11"/>
      <color theme="1"/>
      <name val="Calibri"/>
      <family val="2"/>
      <scheme val="minor"/>
    </font>
    <font>
      <b/>
      <sz val="10"/>
      <color indexed="9"/>
      <name val="Arial"/>
      <family val="2"/>
    </font>
    <font>
      <b/>
      <sz val="12"/>
      <color theme="1"/>
      <name val="Calibri"/>
      <family val="2"/>
      <scheme val="minor"/>
    </font>
    <font>
      <sz val="11"/>
      <color indexed="8"/>
      <name val="Arial"/>
      <family val="2"/>
    </font>
    <font>
      <sz val="10"/>
      <color theme="1"/>
      <name val="Calibri"/>
      <family val="2"/>
      <scheme val="minor"/>
    </font>
    <font>
      <b/>
      <sz val="11"/>
      <color rgb="FF000000"/>
      <name val="Arial"/>
      <family val="2"/>
    </font>
    <font>
      <i/>
      <sz val="11"/>
      <color theme="1"/>
      <name val="Calibri"/>
      <family val="2"/>
      <scheme val="minor"/>
    </font>
    <font>
      <b/>
      <sz val="11"/>
      <name val="Calibri"/>
      <family val="2"/>
      <scheme val="minor"/>
    </font>
    <font>
      <b/>
      <sz val="11"/>
      <name val="Calibri"/>
      <family val="2"/>
    </font>
    <font>
      <i/>
      <vertAlign val="superscript"/>
      <sz val="11"/>
      <color theme="1"/>
      <name val="Calibri"/>
      <family val="2"/>
      <scheme val="minor"/>
    </font>
    <font>
      <sz val="11"/>
      <name val="Calibri"/>
      <family val="2"/>
      <scheme val="minor"/>
    </font>
    <font>
      <i/>
      <sz val="11"/>
      <name val="Calibri"/>
      <family val="2"/>
    </font>
    <font>
      <sz val="11"/>
      <name val="Calibri"/>
      <family val="2"/>
    </font>
    <font>
      <vertAlign val="superscript"/>
      <sz val="11"/>
      <name val="Calibri"/>
      <family val="2"/>
    </font>
    <font>
      <u/>
      <sz val="11"/>
      <color theme="8" tint="-0.249977111117893"/>
      <name val="Calibri"/>
      <family val="2"/>
      <scheme val="minor"/>
    </font>
    <font>
      <sz val="11"/>
      <color theme="10"/>
      <name val="Calibri"/>
      <family val="2"/>
      <scheme val="minor"/>
    </font>
    <font>
      <sz val="11"/>
      <color theme="8" tint="-0.249977111117893"/>
      <name val="Calibri"/>
      <family val="2"/>
      <scheme val="minor"/>
    </font>
    <font>
      <b/>
      <sz val="11"/>
      <color rgb="FF000000"/>
      <name val="Calibri"/>
      <family val="2"/>
      <scheme val="minor"/>
    </font>
    <font>
      <i/>
      <sz val="11"/>
      <color rgb="FF000000"/>
      <name val="Calibri"/>
      <family val="2"/>
      <scheme val="minor"/>
    </font>
    <font>
      <i/>
      <sz val="11"/>
      <name val="Calibri"/>
      <family val="2"/>
      <scheme val="minor"/>
    </font>
    <font>
      <sz val="11"/>
      <color rgb="FF0563C1"/>
      <name val="Calibri"/>
      <family val="2"/>
      <scheme val="minor"/>
    </font>
    <font>
      <sz val="11"/>
      <color rgb="FF2F75B5"/>
      <name val="Calibri"/>
      <family val="2"/>
      <scheme val="minor"/>
    </font>
    <font>
      <b/>
      <i/>
      <sz val="11"/>
      <color rgb="FF000000"/>
      <name val="Calibri"/>
      <family val="2"/>
    </font>
    <font>
      <sz val="11"/>
      <color theme="1"/>
      <name val="Calibri"/>
      <family val="2"/>
    </font>
    <font>
      <i/>
      <sz val="11"/>
      <color rgb="FF000000"/>
      <name val="Calibri"/>
      <family val="2"/>
    </font>
    <font>
      <sz val="11"/>
      <color rgb="FF44546A"/>
      <name val="Arial"/>
      <family val="2"/>
    </font>
    <font>
      <sz val="7"/>
      <color theme="1"/>
      <name val="Segoe UI"/>
      <family val="2"/>
    </font>
    <font>
      <b/>
      <sz val="10"/>
      <name val="Arial"/>
    </font>
    <font>
      <sz val="10"/>
      <name val="Arial"/>
    </font>
    <font>
      <sz val="9"/>
      <color indexed="81"/>
      <name val="Tahoma"/>
      <charset val="1"/>
    </font>
    <font>
      <b/>
      <sz val="9"/>
      <color indexed="81"/>
      <name val="Tahoma"/>
      <charset val="1"/>
    </font>
  </fonts>
  <fills count="61">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rgb="FFFFC000"/>
        <bgColor rgb="FFFFC000"/>
      </patternFill>
    </fill>
    <fill>
      <patternFill patternType="solid">
        <fgColor rgb="FFB4C6E7"/>
        <bgColor rgb="FFB4C6E7"/>
      </patternFill>
    </fill>
    <fill>
      <patternFill patternType="solid">
        <fgColor theme="9"/>
        <bgColor theme="9"/>
      </patternFill>
    </fill>
    <fill>
      <patternFill patternType="solid">
        <fgColor rgb="FFBF8F00"/>
        <bgColor rgb="FFBF8F00"/>
      </patternFill>
    </fill>
    <fill>
      <patternFill patternType="solid">
        <fgColor rgb="FFA9D08E"/>
        <bgColor rgb="FFA9D08E"/>
      </patternFill>
    </fill>
    <fill>
      <patternFill patternType="solid">
        <fgColor rgb="FFFFFFFF"/>
        <b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indexed="56"/>
        <bgColor indexed="23"/>
      </patternFill>
    </fill>
    <fill>
      <patternFill patternType="solid">
        <fgColor rgb="FFC6E0B4"/>
        <bgColor indexed="64"/>
      </patternFill>
    </fill>
    <fill>
      <patternFill patternType="solid">
        <fgColor rgb="FFFFEFF5"/>
        <bgColor indexed="64"/>
      </patternFill>
    </fill>
    <fill>
      <patternFill patternType="solid">
        <fgColor rgb="FFB3FFFF"/>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ADCBC"/>
        <bgColor indexed="64"/>
      </patternFill>
    </fill>
    <fill>
      <patternFill patternType="solid">
        <fgColor rgb="FFD9E1F2"/>
        <bgColor rgb="FF000000"/>
      </patternFill>
    </fill>
    <fill>
      <patternFill patternType="solid">
        <fgColor rgb="FFFFF2CC"/>
        <bgColor rgb="FF000000"/>
      </patternFill>
    </fill>
    <fill>
      <patternFill patternType="solid">
        <fgColor rgb="FFFF0000"/>
        <bgColor indexed="64"/>
      </patternFill>
    </fill>
  </fills>
  <borders count="51">
    <border>
      <left/>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9"/>
      </left>
      <right style="thin">
        <color indexed="9"/>
      </right>
      <top style="thin">
        <color indexed="9"/>
      </top>
      <bottom style="thin">
        <color indexed="9"/>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auto="1"/>
      </top>
      <bottom style="thin">
        <color auto="1"/>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style="thin">
        <color indexed="9"/>
      </right>
      <top/>
      <bottom/>
      <diagonal/>
    </border>
    <border>
      <left/>
      <right/>
      <top/>
      <bottom style="medium">
        <color theme="0" tint="-0.499984740745262"/>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medium">
        <color theme="0" tint="-0.499984740745262"/>
      </bottom>
      <diagonal/>
    </border>
    <border>
      <left style="medium">
        <color theme="0" tint="-0.499984740745262"/>
      </left>
      <right style="thin">
        <color indexed="64"/>
      </right>
      <top style="thin">
        <color indexed="64"/>
      </top>
      <bottom/>
      <diagonal/>
    </border>
    <border>
      <left style="medium">
        <color theme="0" tint="-0.499984740745262"/>
      </left>
      <right style="thin">
        <color indexed="64"/>
      </right>
      <top/>
      <bottom/>
      <diagonal/>
    </border>
    <border>
      <left style="medium">
        <color theme="2" tint="-0.499984740745262"/>
      </left>
      <right style="thin">
        <color indexed="64"/>
      </right>
      <top/>
      <bottom/>
      <diagonal/>
    </border>
    <border>
      <left style="medium">
        <color theme="0" tint="-0.499984740745262"/>
      </left>
      <right style="thin">
        <color indexed="64"/>
      </right>
      <top/>
      <bottom style="thin">
        <color indexed="64"/>
      </bottom>
      <diagonal/>
    </border>
    <border>
      <left/>
      <right style="thin">
        <color auto="1"/>
      </right>
      <top/>
      <bottom/>
      <diagonal/>
    </border>
    <border>
      <left style="medium">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medium">
        <color theme="0" tint="-0.499984740745262"/>
      </left>
      <right style="thin">
        <color theme="0" tint="-0.499984740745262"/>
      </right>
      <top/>
      <bottom/>
      <diagonal/>
    </border>
    <border>
      <left style="medium">
        <color theme="0" tint="-0.499984740745262"/>
      </left>
      <right style="thin">
        <color theme="0" tint="-0.499984740745262"/>
      </right>
      <top/>
      <bottom style="medium">
        <color theme="0" tint="-0.499984740745262"/>
      </bottom>
      <diagonal/>
    </border>
  </borders>
  <cellStyleXfs count="522">
    <xf numFmtId="0" fontId="0" fillId="0" borderId="0"/>
    <xf numFmtId="43" fontId="2" fillId="0" borderId="0" applyFont="0" applyFill="0" applyBorder="0" applyAlignment="0" applyProtection="0"/>
    <xf numFmtId="9" fontId="2" fillId="0" borderId="0" applyFont="0" applyFill="0" applyBorder="0" applyAlignment="0" applyProtection="0"/>
    <xf numFmtId="0" fontId="16" fillId="0" borderId="0"/>
    <xf numFmtId="43" fontId="17" fillId="0" borderId="0" applyFont="0" applyFill="0" applyBorder="0" applyAlignment="0" applyProtection="0"/>
    <xf numFmtId="0" fontId="18" fillId="0" borderId="0"/>
    <xf numFmtId="0" fontId="18" fillId="0" borderId="0"/>
    <xf numFmtId="0" fontId="20" fillId="0" borderId="0" applyNumberFormat="0" applyFill="0" applyBorder="0" applyAlignment="0" applyProtection="0"/>
    <xf numFmtId="0" fontId="17" fillId="0" borderId="0"/>
    <xf numFmtId="0" fontId="17" fillId="0" borderId="0"/>
    <xf numFmtId="9" fontId="17" fillId="0" borderId="0" applyFont="0" applyFill="0" applyBorder="0" applyAlignment="0" applyProtection="0"/>
    <xf numFmtId="0" fontId="16"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0" fontId="23" fillId="0" borderId="0" applyNumberFormat="0" applyFill="0" applyBorder="0" applyAlignment="0" applyProtection="0">
      <alignment vertical="top"/>
      <protection locked="0"/>
    </xf>
    <xf numFmtId="0" fontId="17" fillId="0" borderId="0"/>
    <xf numFmtId="0" fontId="24" fillId="0" borderId="0" applyNumberFormat="0" applyFill="0" applyBorder="0" applyAlignment="0" applyProtection="0"/>
    <xf numFmtId="9" fontId="2" fillId="0" borderId="0" applyFont="0" applyFill="0" applyBorder="0" applyAlignment="0" applyProtection="0"/>
    <xf numFmtId="0" fontId="17" fillId="0" borderId="0"/>
    <xf numFmtId="0" fontId="2" fillId="0" borderId="0"/>
    <xf numFmtId="0" fontId="16" fillId="0" borderId="0"/>
    <xf numFmtId="0" fontId="25"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2" fillId="0" borderId="0"/>
    <xf numFmtId="0" fontId="2" fillId="0" borderId="0"/>
    <xf numFmtId="0" fontId="17" fillId="0" borderId="0"/>
    <xf numFmtId="0" fontId="2" fillId="0" borderId="0"/>
    <xf numFmtId="0" fontId="2"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17"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5"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7" fillId="0" borderId="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34" borderId="0" applyNumberFormat="0" applyBorder="0" applyAlignment="0" applyProtection="0"/>
    <xf numFmtId="0" fontId="6" fillId="38"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6" fillId="35" borderId="0" applyNumberFormat="0" applyBorder="0" applyAlignment="0" applyProtection="0"/>
    <xf numFmtId="0" fontId="6" fillId="39" borderId="0" applyNumberFormat="0" applyBorder="0" applyAlignment="0" applyProtection="0"/>
    <xf numFmtId="0" fontId="26" fillId="20" borderId="0" applyNumberFormat="0" applyBorder="0" applyAlignment="0" applyProtection="0"/>
    <xf numFmtId="0" fontId="26" fillId="24" borderId="0" applyNumberFormat="0" applyBorder="0" applyAlignment="0" applyProtection="0"/>
    <xf numFmtId="0" fontId="26" fillId="28" borderId="0" applyNumberFormat="0" applyBorder="0" applyAlignment="0" applyProtection="0"/>
    <xf numFmtId="0" fontId="26" fillId="32" borderId="0" applyNumberFormat="0" applyBorder="0" applyAlignment="0" applyProtection="0"/>
    <xf numFmtId="0" fontId="26" fillId="36" borderId="0" applyNumberFormat="0" applyBorder="0" applyAlignment="0" applyProtection="0"/>
    <xf numFmtId="0" fontId="26" fillId="40" borderId="0" applyNumberFormat="0" applyBorder="0" applyAlignment="0" applyProtection="0"/>
    <xf numFmtId="0" fontId="26" fillId="17" borderId="0" applyNumberFormat="0" applyBorder="0" applyAlignment="0" applyProtection="0"/>
    <xf numFmtId="0" fontId="26" fillId="21" borderId="0" applyNumberFormat="0" applyBorder="0" applyAlignment="0" applyProtection="0"/>
    <xf numFmtId="0" fontId="26" fillId="25" borderId="0" applyNumberFormat="0" applyBorder="0" applyAlignment="0" applyProtection="0"/>
    <xf numFmtId="0" fontId="26" fillId="29" borderId="0" applyNumberFormat="0" applyBorder="0" applyAlignment="0" applyProtection="0"/>
    <xf numFmtId="0" fontId="26" fillId="33" borderId="0" applyNumberFormat="0" applyBorder="0" applyAlignment="0" applyProtection="0"/>
    <xf numFmtId="0" fontId="26" fillId="37" borderId="0" applyNumberFormat="0" applyBorder="0" applyAlignment="0" applyProtection="0"/>
    <xf numFmtId="0" fontId="27" fillId="11" borderId="0" applyNumberFormat="0" applyBorder="0" applyAlignment="0" applyProtection="0"/>
    <xf numFmtId="0" fontId="28" fillId="14" borderId="11" applyNumberFormat="0" applyAlignment="0" applyProtection="0"/>
    <xf numFmtId="0" fontId="29" fillId="15" borderId="14" applyNumberFormat="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3" fontId="17"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0" fontId="31" fillId="0" borderId="0" applyNumberFormat="0" applyFill="0" applyBorder="0" applyAlignment="0" applyProtection="0"/>
    <xf numFmtId="0" fontId="32" fillId="10" borderId="0" applyNumberFormat="0" applyBorder="0" applyAlignment="0" applyProtection="0"/>
    <xf numFmtId="0" fontId="33" fillId="0" borderId="8" applyNumberFormat="0" applyFill="0" applyAlignment="0" applyProtection="0"/>
    <xf numFmtId="0" fontId="34" fillId="0" borderId="9" applyNumberFormat="0" applyFill="0" applyAlignment="0" applyProtection="0"/>
    <xf numFmtId="0" fontId="35" fillId="0" borderId="10" applyNumberFormat="0" applyFill="0" applyAlignment="0" applyProtection="0"/>
    <xf numFmtId="0" fontId="35" fillId="0" borderId="0" applyNumberFormat="0" applyFill="0" applyBorder="0" applyAlignment="0" applyProtection="0"/>
    <xf numFmtId="0" fontId="36" fillId="13" borderId="11" applyNumberFormat="0" applyAlignment="0" applyProtection="0"/>
    <xf numFmtId="0" fontId="37" fillId="0" borderId="13" applyNumberFormat="0" applyFill="0" applyAlignment="0" applyProtection="0"/>
    <xf numFmtId="0" fontId="38" fillId="12" borderId="0" applyNumberFormat="0" applyBorder="0" applyAlignment="0" applyProtection="0"/>
    <xf numFmtId="0" fontId="17" fillId="0" borderId="0"/>
    <xf numFmtId="0" fontId="2" fillId="0" borderId="0"/>
    <xf numFmtId="0" fontId="2" fillId="0" borderId="0"/>
    <xf numFmtId="0" fontId="2" fillId="0" borderId="0"/>
    <xf numFmtId="0" fontId="17" fillId="0" borderId="0"/>
    <xf numFmtId="0" fontId="2" fillId="0" borderId="0"/>
    <xf numFmtId="0" fontId="2" fillId="0" borderId="0"/>
    <xf numFmtId="0" fontId="2" fillId="0" borderId="0"/>
    <xf numFmtId="0" fontId="17" fillId="0" borderId="0"/>
    <xf numFmtId="0" fontId="2" fillId="0" borderId="0"/>
    <xf numFmtId="0" fontId="2" fillId="0" borderId="0"/>
    <xf numFmtId="0" fontId="2" fillId="0" borderId="0"/>
    <xf numFmtId="0" fontId="17" fillId="0" borderId="0"/>
    <xf numFmtId="0" fontId="17" fillId="0" borderId="0"/>
    <xf numFmtId="0" fontId="17" fillId="0" borderId="0"/>
    <xf numFmtId="0" fontId="17" fillId="0" borderId="0"/>
    <xf numFmtId="0" fontId="6" fillId="0" borderId="0"/>
    <xf numFmtId="0" fontId="17"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17" fillId="0" borderId="0"/>
    <xf numFmtId="0" fontId="40" fillId="0" borderId="0"/>
    <xf numFmtId="0" fontId="40" fillId="0" borderId="0"/>
    <xf numFmtId="0" fontId="40" fillId="0" borderId="0"/>
    <xf numFmtId="0" fontId="40" fillId="0" borderId="0"/>
    <xf numFmtId="0" fontId="16" fillId="0" borderId="0"/>
    <xf numFmtId="0" fontId="16" fillId="0" borderId="0"/>
    <xf numFmtId="0" fontId="16" fillId="0" borderId="0"/>
    <xf numFmtId="0" fontId="17" fillId="0" borderId="0"/>
    <xf numFmtId="0" fontId="17" fillId="0" borderId="0"/>
    <xf numFmtId="0" fontId="2" fillId="0" borderId="0"/>
    <xf numFmtId="0" fontId="17" fillId="0" borderId="0"/>
    <xf numFmtId="0" fontId="2" fillId="16" borderId="15" applyNumberFormat="0" applyFont="0" applyAlignment="0" applyProtection="0"/>
    <xf numFmtId="0" fontId="2" fillId="16" borderId="15" applyNumberFormat="0" applyFont="0" applyAlignment="0" applyProtection="0"/>
    <xf numFmtId="0" fontId="2" fillId="16" borderId="15" applyNumberFormat="0" applyFont="0" applyAlignment="0" applyProtection="0"/>
    <xf numFmtId="0" fontId="6" fillId="16" borderId="15" applyNumberFormat="0" applyFont="0" applyAlignment="0" applyProtection="0"/>
    <xf numFmtId="0" fontId="41" fillId="14" borderId="12" applyNumberFormat="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4" fillId="0" borderId="16"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2" fillId="0" borderId="0"/>
    <xf numFmtId="0" fontId="2"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1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9" fontId="1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9" fillId="0" borderId="0" applyNumberFormat="0" applyFill="0" applyBorder="0" applyAlignment="0" applyProtection="0"/>
    <xf numFmtId="0" fontId="16" fillId="0" borderId="0"/>
    <xf numFmtId="0" fontId="17" fillId="0" borderId="0"/>
    <xf numFmtId="0" fontId="44" fillId="0" borderId="0" applyFont="0" applyFill="0" applyBorder="0" applyAlignment="0" applyProtection="0"/>
    <xf numFmtId="0" fontId="45" fillId="0" borderId="0"/>
    <xf numFmtId="0" fontId="16" fillId="0" borderId="0"/>
    <xf numFmtId="43"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0" fontId="2" fillId="0" borderId="0"/>
    <xf numFmtId="0" fontId="20" fillId="0" borderId="0" applyNumberFormat="0" applyFill="0" applyBorder="0" applyAlignment="0" applyProtection="0">
      <alignment vertical="top"/>
      <protection locked="0"/>
    </xf>
    <xf numFmtId="0" fontId="46" fillId="0" borderId="0"/>
    <xf numFmtId="0" fontId="51" fillId="0" borderId="0"/>
    <xf numFmtId="43" fontId="51" fillId="0" borderId="0" applyFont="0" applyFill="0" applyBorder="0" applyAlignment="0" applyProtection="0"/>
    <xf numFmtId="0" fontId="16" fillId="0" borderId="0"/>
    <xf numFmtId="0" fontId="20" fillId="0" borderId="0" applyNumberFormat="0" applyFill="0" applyBorder="0" applyAlignment="0" applyProtection="0"/>
    <xf numFmtId="0" fontId="20" fillId="0" borderId="0" applyNumberFormat="0" applyFill="0" applyBorder="0" applyAlignment="0" applyProtection="0"/>
    <xf numFmtId="9" fontId="46" fillId="0" borderId="0" applyFont="0" applyFill="0" applyBorder="0" applyAlignment="0" applyProtection="0"/>
    <xf numFmtId="9" fontId="18" fillId="0" borderId="0" applyFont="0" applyFill="0" applyBorder="0" applyAlignment="0" applyProtection="0"/>
    <xf numFmtId="0" fontId="17" fillId="0" borderId="0"/>
    <xf numFmtId="43" fontId="17" fillId="0" borderId="0" applyFont="0" applyFill="0" applyBorder="0" applyAlignment="0" applyProtection="0"/>
    <xf numFmtId="0" fontId="90" fillId="0" borderId="0"/>
  </cellStyleXfs>
  <cellXfs count="1512">
    <xf numFmtId="0" fontId="0" fillId="0" borderId="0" xfId="0"/>
    <xf numFmtId="0" fontId="0" fillId="0" borderId="0" xfId="0" applyAlignment="1">
      <alignment wrapText="1"/>
    </xf>
    <xf numFmtId="0" fontId="4" fillId="0" borderId="0" xfId="0" applyFont="1"/>
    <xf numFmtId="0" fontId="5" fillId="0" borderId="0" xfId="0" applyFont="1" applyAlignment="1">
      <alignment vertical="top"/>
    </xf>
    <xf numFmtId="1" fontId="5" fillId="0" borderId="0" xfId="0" applyNumberFormat="1" applyFont="1" applyAlignment="1">
      <alignment vertical="top"/>
    </xf>
    <xf numFmtId="0" fontId="4" fillId="0" borderId="0" xfId="0" applyFont="1" applyAlignment="1">
      <alignment horizontal="right"/>
    </xf>
    <xf numFmtId="0" fontId="6" fillId="0" borderId="0" xfId="0" applyFont="1" applyAlignment="1">
      <alignment horizontal="right"/>
    </xf>
    <xf numFmtId="0" fontId="6" fillId="0" borderId="0" xfId="0" applyFont="1"/>
    <xf numFmtId="0" fontId="7" fillId="0" borderId="0" xfId="0" applyFont="1"/>
    <xf numFmtId="165" fontId="8" fillId="0" borderId="0" xfId="0" applyNumberFormat="1" applyFont="1" applyAlignment="1">
      <alignment horizontal="right" vertical="top"/>
    </xf>
    <xf numFmtId="1" fontId="4" fillId="0" borderId="0" xfId="0" applyNumberFormat="1" applyFont="1"/>
    <xf numFmtId="0" fontId="8" fillId="0" borderId="0" xfId="0" applyFont="1" applyAlignment="1">
      <alignment horizontal="right" vertical="top"/>
    </xf>
    <xf numFmtId="3" fontId="6" fillId="0" borderId="0" xfId="0" applyNumberFormat="1" applyFont="1"/>
    <xf numFmtId="3" fontId="9" fillId="0" borderId="0" xfId="0" applyNumberFormat="1" applyFont="1" applyAlignment="1">
      <alignment horizontal="right" vertical="top"/>
    </xf>
    <xf numFmtId="0" fontId="7" fillId="9" borderId="0" xfId="0" applyFont="1" applyFill="1" applyAlignment="1">
      <alignment horizontal="right"/>
    </xf>
    <xf numFmtId="0" fontId="10" fillId="0" borderId="0" xfId="0" applyFont="1"/>
    <xf numFmtId="0" fontId="12" fillId="0" borderId="0" xfId="0" applyFont="1" applyAlignment="1">
      <alignment horizontal="right"/>
    </xf>
    <xf numFmtId="166" fontId="13" fillId="0" borderId="0" xfId="0" applyNumberFormat="1" applyFont="1" applyAlignment="1">
      <alignment horizontal="right" vertical="top"/>
    </xf>
    <xf numFmtId="166" fontId="7" fillId="9" borderId="0" xfId="0" applyNumberFormat="1" applyFont="1" applyFill="1" applyAlignment="1">
      <alignment horizontal="right"/>
    </xf>
    <xf numFmtId="3" fontId="4" fillId="0" borderId="0" xfId="0" applyNumberFormat="1" applyFont="1"/>
    <xf numFmtId="166" fontId="12" fillId="0" borderId="0" xfId="0" applyNumberFormat="1" applyFont="1" applyAlignment="1">
      <alignment horizontal="right"/>
    </xf>
    <xf numFmtId="3" fontId="12" fillId="0" borderId="0" xfId="0" applyNumberFormat="1" applyFont="1" applyAlignment="1">
      <alignment horizontal="right"/>
    </xf>
    <xf numFmtId="165" fontId="4" fillId="0" borderId="0" xfId="0" applyNumberFormat="1" applyFont="1" applyAlignment="1">
      <alignment horizontal="right"/>
    </xf>
    <xf numFmtId="1" fontId="4" fillId="0" borderId="0" xfId="0" applyNumberFormat="1" applyFont="1" applyAlignment="1">
      <alignment horizontal="right"/>
    </xf>
    <xf numFmtId="0" fontId="6" fillId="0" borderId="0" xfId="0" applyFont="1" applyAlignment="1">
      <alignment wrapText="1"/>
    </xf>
    <xf numFmtId="0" fontId="0" fillId="0" borderId="0" xfId="0"/>
    <xf numFmtId="0" fontId="0" fillId="0" borderId="0" xfId="0" applyAlignment="1">
      <alignment vertical="top" wrapText="1"/>
    </xf>
    <xf numFmtId="0" fontId="0" fillId="3" borderId="0" xfId="0" applyFill="1" applyAlignment="1">
      <alignment wrapText="1"/>
    </xf>
    <xf numFmtId="0" fontId="0" fillId="3" borderId="0" xfId="0" applyFill="1" applyAlignment="1">
      <alignment vertical="top" wrapText="1"/>
    </xf>
    <xf numFmtId="0" fontId="48" fillId="3" borderId="0" xfId="0" applyFont="1" applyFill="1" applyAlignment="1">
      <alignment wrapText="1"/>
    </xf>
    <xf numFmtId="0" fontId="20" fillId="0" borderId="0" xfId="7" applyAlignment="1">
      <alignment wrapText="1"/>
    </xf>
    <xf numFmtId="0" fontId="3" fillId="0" borderId="0" xfId="0" applyFont="1" applyAlignment="1">
      <alignment wrapText="1"/>
    </xf>
    <xf numFmtId="0" fontId="3" fillId="3" borderId="0" xfId="0" applyFont="1" applyFill="1" applyAlignment="1">
      <alignment wrapText="1"/>
    </xf>
    <xf numFmtId="0" fontId="3" fillId="3" borderId="0" xfId="0" applyFont="1" applyFill="1" applyAlignment="1">
      <alignment vertical="top" wrapText="1"/>
    </xf>
    <xf numFmtId="0" fontId="3" fillId="43" borderId="0" xfId="0" applyFont="1" applyFill="1" applyAlignment="1">
      <alignment wrapText="1"/>
    </xf>
    <xf numFmtId="0" fontId="15" fillId="0" borderId="0" xfId="0" applyFont="1" applyBorder="1"/>
    <xf numFmtId="0" fontId="15" fillId="0" borderId="0" xfId="0" applyFont="1"/>
    <xf numFmtId="0" fontId="15" fillId="0" borderId="0" xfId="0" applyFont="1" applyFill="1" applyBorder="1"/>
    <xf numFmtId="0" fontId="15" fillId="41" borderId="22" xfId="0" applyFont="1" applyFill="1" applyBorder="1" applyAlignment="1">
      <alignment horizontal="center"/>
    </xf>
    <xf numFmtId="0" fontId="15" fillId="41" borderId="23" xfId="0" applyFont="1" applyFill="1" applyBorder="1" applyAlignment="1">
      <alignment horizontal="center"/>
    </xf>
    <xf numFmtId="0" fontId="15" fillId="41" borderId="6" xfId="0" applyFont="1" applyFill="1" applyBorder="1" applyAlignment="1">
      <alignment horizontal="center"/>
    </xf>
    <xf numFmtId="0" fontId="15" fillId="41" borderId="5" xfId="0" applyFont="1" applyFill="1" applyBorder="1" applyAlignment="1">
      <alignment horizontal="center"/>
    </xf>
    <xf numFmtId="0" fontId="15" fillId="41" borderId="21" xfId="0" applyFont="1" applyFill="1" applyBorder="1" applyAlignment="1">
      <alignment horizontal="center"/>
    </xf>
    <xf numFmtId="166" fontId="15" fillId="0" borderId="0" xfId="0" applyNumberFormat="1" applyFont="1"/>
    <xf numFmtId="0" fontId="15" fillId="0" borderId="0" xfId="0" applyFont="1" applyAlignment="1">
      <alignment wrapText="1"/>
    </xf>
    <xf numFmtId="0" fontId="15" fillId="0" borderId="7" xfId="0" applyFont="1" applyBorder="1"/>
    <xf numFmtId="0" fontId="15" fillId="0" borderId="1" xfId="0" applyFont="1" applyBorder="1"/>
    <xf numFmtId="0" fontId="15" fillId="0" borderId="5" xfId="0" applyFont="1" applyBorder="1"/>
    <xf numFmtId="0" fontId="15" fillId="0" borderId="0" xfId="0" applyFont="1" applyBorder="1" applyAlignment="1">
      <alignment horizontal="center"/>
    </xf>
    <xf numFmtId="0" fontId="15" fillId="0" borderId="24" xfId="0" applyFont="1" applyBorder="1"/>
    <xf numFmtId="0" fontId="46" fillId="0" borderId="0" xfId="511"/>
    <xf numFmtId="0" fontId="21" fillId="0" borderId="0" xfId="11" applyFont="1" applyAlignment="1">
      <alignment horizontal="left" indent="1"/>
    </xf>
    <xf numFmtId="3" fontId="21" fillId="0" borderId="0" xfId="11" applyNumberFormat="1" applyFont="1" applyAlignment="1">
      <alignment horizontal="right"/>
    </xf>
    <xf numFmtId="3" fontId="15" fillId="0" borderId="7" xfId="0" quotePrefix="1" applyNumberFormat="1" applyFont="1" applyBorder="1" applyAlignment="1">
      <alignment horizontal="center"/>
    </xf>
    <xf numFmtId="0" fontId="15" fillId="0" borderId="1" xfId="0" applyFont="1" applyBorder="1" applyAlignment="1">
      <alignment horizontal="left" wrapText="1"/>
    </xf>
    <xf numFmtId="0" fontId="50" fillId="0" borderId="1" xfId="0" applyFont="1" applyBorder="1" applyAlignment="1">
      <alignment horizontal="left" wrapText="1"/>
    </xf>
    <xf numFmtId="164" fontId="21" fillId="0" borderId="0" xfId="37" applyNumberFormat="1" applyFont="1"/>
    <xf numFmtId="0" fontId="49" fillId="0" borderId="0" xfId="0" applyFont="1"/>
    <xf numFmtId="43" fontId="15" fillId="0" borderId="0" xfId="1" applyFont="1"/>
    <xf numFmtId="0" fontId="15" fillId="0" borderId="21" xfId="0" applyFont="1" applyBorder="1"/>
    <xf numFmtId="0" fontId="15" fillId="0" borderId="0" xfId="0" applyFont="1" applyBorder="1" applyAlignment="1">
      <alignment horizontal="left"/>
    </xf>
    <xf numFmtId="0" fontId="15" fillId="0" borderId="1" xfId="0" applyFont="1" applyBorder="1" applyAlignment="1">
      <alignment wrapText="1"/>
    </xf>
    <xf numFmtId="3" fontId="15" fillId="0" borderId="0" xfId="0" quotePrefix="1" applyNumberFormat="1" applyFont="1" applyBorder="1" applyAlignment="1">
      <alignment horizontal="center"/>
    </xf>
    <xf numFmtId="0" fontId="15" fillId="44" borderId="22" xfId="0" applyFont="1" applyFill="1" applyBorder="1" applyAlignment="1">
      <alignment horizontal="center"/>
    </xf>
    <xf numFmtId="0" fontId="15" fillId="44" borderId="6" xfId="0" applyFont="1" applyFill="1" applyBorder="1" applyAlignment="1">
      <alignment horizontal="center"/>
    </xf>
    <xf numFmtId="0" fontId="15" fillId="44" borderId="5" xfId="0" applyFont="1" applyFill="1" applyBorder="1" applyAlignment="1">
      <alignment horizontal="center"/>
    </xf>
    <xf numFmtId="0" fontId="15" fillId="44" borderId="21" xfId="0" applyFont="1" applyFill="1" applyBorder="1" applyAlignment="1">
      <alignment horizontal="center"/>
    </xf>
    <xf numFmtId="0" fontId="15" fillId="44" borderId="23" xfId="0" applyFont="1" applyFill="1" applyBorder="1" applyAlignment="1">
      <alignment horizontal="center"/>
    </xf>
    <xf numFmtId="166" fontId="15" fillId="0" borderId="0" xfId="0" quotePrefix="1" applyNumberFormat="1" applyFont="1" applyBorder="1" applyAlignment="1">
      <alignment horizontal="center"/>
    </xf>
    <xf numFmtId="166" fontId="15" fillId="0" borderId="0" xfId="0" applyNumberFormat="1" applyFont="1" applyBorder="1" applyAlignment="1">
      <alignment horizontal="center"/>
    </xf>
    <xf numFmtId="166" fontId="15" fillId="0" borderId="1" xfId="0" quotePrefix="1" applyNumberFormat="1" applyFont="1" applyBorder="1" applyAlignment="1">
      <alignment horizontal="center"/>
    </xf>
    <xf numFmtId="0" fontId="15" fillId="0" borderId="18" xfId="0" applyFont="1" applyBorder="1" applyAlignment="1">
      <alignment wrapText="1"/>
    </xf>
    <xf numFmtId="0" fontId="15" fillId="0" borderId="1" xfId="0" applyFont="1" applyFill="1" applyBorder="1" applyAlignment="1">
      <alignment wrapText="1"/>
    </xf>
    <xf numFmtId="166" fontId="15" fillId="0" borderId="0" xfId="0" applyNumberFormat="1" applyFont="1" applyFill="1" applyBorder="1" applyAlignment="1">
      <alignment horizontal="center"/>
    </xf>
    <xf numFmtId="0" fontId="15" fillId="0" borderId="0" xfId="0" applyFont="1" applyAlignment="1">
      <alignment horizontal="left" vertical="top" wrapText="1"/>
    </xf>
    <xf numFmtId="0" fontId="0" fillId="0" borderId="0" xfId="0"/>
    <xf numFmtId="166" fontId="15" fillId="44" borderId="7" xfId="0" quotePrefix="1" applyNumberFormat="1" applyFont="1" applyFill="1" applyBorder="1" applyAlignment="1">
      <alignment horizontal="center"/>
    </xf>
    <xf numFmtId="0" fontId="50" fillId="0" borderId="0" xfId="0" applyFont="1" applyBorder="1" applyAlignment="1">
      <alignment horizontal="left" wrapText="1"/>
    </xf>
    <xf numFmtId="166" fontId="15" fillId="44" borderId="0" xfId="0" quotePrefix="1" applyNumberFormat="1" applyFont="1" applyFill="1" applyBorder="1" applyAlignment="1">
      <alignment horizontal="center"/>
    </xf>
    <xf numFmtId="166" fontId="15" fillId="44" borderId="1" xfId="0" quotePrefix="1" applyNumberFormat="1" applyFont="1" applyFill="1" applyBorder="1" applyAlignment="1">
      <alignment horizontal="center"/>
    </xf>
    <xf numFmtId="3" fontId="15" fillId="0" borderId="0" xfId="0" quotePrefix="1" applyNumberFormat="1" applyFont="1" applyFill="1" applyBorder="1" applyAlignment="1">
      <alignment horizontal="center"/>
    </xf>
    <xf numFmtId="166" fontId="15" fillId="0" borderId="18" xfId="0" quotePrefix="1" applyNumberFormat="1" applyFont="1" applyBorder="1" applyAlignment="1">
      <alignment horizontal="center"/>
    </xf>
    <xf numFmtId="0" fontId="15" fillId="44" borderId="24" xfId="0" applyFont="1" applyFill="1" applyBorder="1" applyAlignment="1">
      <alignment horizontal="center"/>
    </xf>
    <xf numFmtId="0" fontId="15" fillId="0" borderId="6" xfId="0" applyFont="1" applyFill="1" applyBorder="1" applyAlignment="1">
      <alignment vertical="top" wrapText="1"/>
    </xf>
    <xf numFmtId="0" fontId="15" fillId="0" borderId="0" xfId="0" applyFont="1" applyBorder="1" applyAlignment="1">
      <alignment wrapText="1"/>
    </xf>
    <xf numFmtId="0" fontId="15" fillId="0" borderId="1" xfId="0" applyFont="1" applyFill="1" applyBorder="1" applyAlignment="1">
      <alignment horizontal="left" wrapText="1" indent="2"/>
    </xf>
    <xf numFmtId="166" fontId="15" fillId="44" borderId="0" xfId="0" applyNumberFormat="1" applyFont="1" applyFill="1" applyBorder="1" applyAlignment="1">
      <alignment horizontal="center" wrapText="1"/>
    </xf>
    <xf numFmtId="166" fontId="15" fillId="44" borderId="7" xfId="0" applyNumberFormat="1" applyFont="1" applyFill="1" applyBorder="1" applyAlignment="1">
      <alignment horizontal="center" wrapText="1"/>
    </xf>
    <xf numFmtId="3" fontId="15" fillId="0" borderId="0" xfId="0" quotePrefix="1" applyNumberFormat="1" applyFont="1" applyBorder="1" applyAlignment="1">
      <alignment horizontal="center" wrapText="1"/>
    </xf>
    <xf numFmtId="3" fontId="15" fillId="44" borderId="7" xfId="0" applyNumberFormat="1" applyFont="1" applyFill="1" applyBorder="1" applyAlignment="1">
      <alignment horizontal="center" wrapText="1"/>
    </xf>
    <xf numFmtId="3" fontId="15" fillId="0" borderId="0" xfId="0" applyNumberFormat="1" applyFont="1" applyBorder="1" applyAlignment="1">
      <alignment horizontal="center" wrapText="1"/>
    </xf>
    <xf numFmtId="164" fontId="15" fillId="44" borderId="0" xfId="0" applyNumberFormat="1" applyFont="1" applyFill="1" applyBorder="1" applyAlignment="1">
      <alignment horizontal="center" wrapText="1"/>
    </xf>
    <xf numFmtId="164" fontId="15" fillId="44" borderId="7" xfId="0" applyNumberFormat="1" applyFont="1" applyFill="1" applyBorder="1" applyAlignment="1">
      <alignment horizontal="center" wrapText="1"/>
    </xf>
    <xf numFmtId="0" fontId="15" fillId="0" borderId="0" xfId="0" applyFont="1" applyAlignment="1">
      <alignment vertical="top" wrapText="1"/>
    </xf>
    <xf numFmtId="0" fontId="15" fillId="0" borderId="1" xfId="0" applyFont="1" applyFill="1" applyBorder="1" applyAlignment="1">
      <alignment horizontal="left" vertical="top" wrapText="1" indent="2"/>
    </xf>
    <xf numFmtId="0" fontId="15" fillId="0" borderId="1" xfId="0" applyFont="1" applyBorder="1" applyAlignment="1">
      <alignment horizontal="left" vertical="top" wrapText="1" indent="2"/>
    </xf>
    <xf numFmtId="0" fontId="15" fillId="0" borderId="0" xfId="0" applyFont="1" applyFill="1" applyBorder="1" applyAlignment="1">
      <alignment horizontal="center"/>
    </xf>
    <xf numFmtId="166" fontId="15" fillId="0" borderId="0" xfId="0" applyNumberFormat="1" applyFont="1" applyBorder="1" applyAlignment="1">
      <alignment horizontal="center" wrapText="1"/>
    </xf>
    <xf numFmtId="166" fontId="15" fillId="44" borderId="17" xfId="0" quotePrefix="1" applyNumberFormat="1" applyFont="1" applyFill="1" applyBorder="1" applyAlignment="1">
      <alignment horizontal="center"/>
    </xf>
    <xf numFmtId="0" fontId="15" fillId="0" borderId="0" xfId="0" applyFont="1" applyBorder="1" applyAlignment="1">
      <alignment vertical="top" wrapText="1"/>
    </xf>
    <xf numFmtId="166" fontId="15" fillId="44" borderId="18" xfId="0" quotePrefix="1" applyNumberFormat="1" applyFont="1" applyFill="1" applyBorder="1" applyAlignment="1">
      <alignment horizontal="center"/>
    </xf>
    <xf numFmtId="166" fontId="15" fillId="44" borderId="19" xfId="0" quotePrefix="1" applyNumberFormat="1" applyFont="1" applyFill="1" applyBorder="1" applyAlignment="1">
      <alignment horizontal="center"/>
    </xf>
    <xf numFmtId="166" fontId="15" fillId="44" borderId="6" xfId="0" quotePrefix="1" applyNumberFormat="1" applyFont="1" applyFill="1" applyBorder="1" applyAlignment="1">
      <alignment horizontal="center"/>
    </xf>
    <xf numFmtId="166" fontId="15" fillId="44" borderId="5" xfId="0" quotePrefix="1" applyNumberFormat="1" applyFont="1" applyFill="1" applyBorder="1" applyAlignment="1">
      <alignment horizontal="center"/>
    </xf>
    <xf numFmtId="166" fontId="15" fillId="44" borderId="21" xfId="0" quotePrefix="1" applyNumberFormat="1" applyFont="1" applyFill="1" applyBorder="1" applyAlignment="1">
      <alignment horizontal="center"/>
    </xf>
    <xf numFmtId="0" fontId="15" fillId="0" borderId="6" xfId="0" applyFont="1" applyBorder="1" applyAlignment="1">
      <alignment horizontal="left" wrapText="1"/>
    </xf>
    <xf numFmtId="0" fontId="50" fillId="0" borderId="1" xfId="0" applyFont="1" applyBorder="1" applyAlignment="1">
      <alignment horizontal="left" vertical="top" wrapText="1"/>
    </xf>
    <xf numFmtId="0" fontId="0" fillId="0" borderId="0" xfId="0"/>
    <xf numFmtId="0" fontId="15" fillId="0" borderId="0" xfId="0" applyFont="1" applyBorder="1" applyAlignment="1">
      <alignment horizontal="center" wrapText="1"/>
    </xf>
    <xf numFmtId="0" fontId="15" fillId="0" borderId="1" xfId="0" applyFont="1" applyFill="1" applyBorder="1" applyAlignment="1">
      <alignment vertical="top" wrapText="1"/>
    </xf>
    <xf numFmtId="3" fontId="15" fillId="0" borderId="0" xfId="0" applyNumberFormat="1" applyFont="1" applyBorder="1"/>
    <xf numFmtId="3" fontId="15" fillId="0" borderId="7" xfId="0" applyNumberFormat="1" applyFont="1" applyBorder="1"/>
    <xf numFmtId="0" fontId="15" fillId="0" borderId="1" xfId="0" applyFont="1" applyBorder="1" applyAlignment="1">
      <alignment horizontal="left" vertical="top" wrapText="1" indent="1"/>
    </xf>
    <xf numFmtId="0" fontId="15" fillId="0" borderId="0" xfId="0" applyFont="1" applyAlignment="1">
      <alignment horizontal="left" indent="2"/>
    </xf>
    <xf numFmtId="0" fontId="49" fillId="0" borderId="0" xfId="0" applyFont="1" applyAlignment="1">
      <alignment horizontal="left"/>
    </xf>
    <xf numFmtId="0" fontId="15" fillId="0" borderId="1" xfId="0" applyFont="1" applyFill="1" applyBorder="1" applyAlignment="1">
      <alignment horizontal="left" wrapText="1" indent="1"/>
    </xf>
    <xf numFmtId="0" fontId="49" fillId="0" borderId="0" xfId="0" applyFont="1" applyFill="1" applyBorder="1" applyAlignment="1">
      <alignment horizontal="center" vertical="top" wrapText="1"/>
    </xf>
    <xf numFmtId="3" fontId="15" fillId="0" borderId="0" xfId="0" quotePrefix="1" applyNumberFormat="1" applyFont="1" applyBorder="1" applyAlignment="1">
      <alignment horizontal="center" vertical="top" wrapText="1"/>
    </xf>
    <xf numFmtId="0" fontId="49" fillId="0" borderId="1" xfId="0" applyFont="1" applyFill="1" applyBorder="1" applyAlignment="1">
      <alignment horizontal="left" wrapText="1"/>
    </xf>
    <xf numFmtId="0" fontId="49" fillId="0" borderId="0" xfId="0" applyFont="1" applyFill="1"/>
    <xf numFmtId="0" fontId="15" fillId="0" borderId="0" xfId="0" applyFont="1" applyFill="1"/>
    <xf numFmtId="0" fontId="52" fillId="0" borderId="0" xfId="0" applyFont="1"/>
    <xf numFmtId="0" fontId="15" fillId="0" borderId="0" xfId="0" applyFont="1" applyFill="1" applyBorder="1" applyAlignment="1"/>
    <xf numFmtId="0" fontId="15" fillId="0" borderId="0" xfId="0" applyFont="1" applyAlignment="1">
      <alignment horizontal="right"/>
    </xf>
    <xf numFmtId="0" fontId="49" fillId="46" borderId="0" xfId="0" applyFont="1" applyFill="1"/>
    <xf numFmtId="0" fontId="49" fillId="46" borderId="0" xfId="0" applyFont="1" applyFill="1" applyAlignment="1">
      <alignment horizontal="left"/>
    </xf>
    <xf numFmtId="0" fontId="15" fillId="46" borderId="0" xfId="0" applyFont="1" applyFill="1" applyAlignment="1">
      <alignment horizontal="left" indent="2"/>
    </xf>
    <xf numFmtId="0" fontId="15" fillId="0" borderId="0" xfId="0" applyFont="1" applyFill="1" applyAlignment="1">
      <alignment horizontal="left" indent="2"/>
    </xf>
    <xf numFmtId="0" fontId="15" fillId="0" borderId="0" xfId="0" applyFont="1" applyFill="1" applyAlignment="1">
      <alignment horizontal="right"/>
    </xf>
    <xf numFmtId="0" fontId="15" fillId="46" borderId="0" xfId="0" applyFont="1" applyFill="1" applyAlignment="1">
      <alignment horizontal="right"/>
    </xf>
    <xf numFmtId="3" fontId="15" fillId="0" borderId="0" xfId="0" applyNumberFormat="1" applyFont="1" applyBorder="1" applyAlignment="1">
      <alignment horizontal="center" vertical="top" wrapText="1"/>
    </xf>
    <xf numFmtId="0" fontId="15" fillId="0" borderId="0" xfId="0" applyFont="1" applyFill="1" applyAlignment="1">
      <alignment wrapText="1"/>
    </xf>
    <xf numFmtId="3" fontId="15" fillId="0" borderId="1" xfId="0" quotePrefix="1" applyNumberFormat="1" applyFont="1" applyFill="1" applyBorder="1" applyAlignment="1">
      <alignment horizontal="center" wrapText="1"/>
    </xf>
    <xf numFmtId="3" fontId="15" fillId="0" borderId="0" xfId="0" quotePrefix="1" applyNumberFormat="1" applyFont="1" applyFill="1" applyBorder="1" applyAlignment="1">
      <alignment horizontal="center" wrapText="1"/>
    </xf>
    <xf numFmtId="3" fontId="15" fillId="0" borderId="1" xfId="0" applyNumberFormat="1" applyFont="1" applyFill="1" applyBorder="1" applyAlignment="1">
      <alignment horizontal="center" wrapText="1"/>
    </xf>
    <xf numFmtId="3" fontId="15" fillId="0" borderId="0" xfId="0" applyNumberFormat="1" applyFont="1" applyFill="1" applyBorder="1" applyAlignment="1">
      <alignment horizontal="center" wrapText="1"/>
    </xf>
    <xf numFmtId="0" fontId="15" fillId="0" borderId="0" xfId="0" applyFont="1" applyFill="1" applyAlignment="1">
      <alignment vertical="top" wrapText="1"/>
    </xf>
    <xf numFmtId="0" fontId="15" fillId="0" borderId="0" xfId="0" applyFont="1" applyFill="1" applyBorder="1" applyAlignment="1">
      <alignment wrapText="1"/>
    </xf>
    <xf numFmtId="166" fontId="15" fillId="0" borderId="0" xfId="0" applyNumberFormat="1" applyFont="1" applyFill="1" applyBorder="1" applyAlignment="1">
      <alignment vertical="top" wrapText="1"/>
    </xf>
    <xf numFmtId="0" fontId="15" fillId="0" borderId="6" xfId="0" applyFont="1" applyBorder="1" applyAlignment="1">
      <alignment horizontal="left" vertical="top" wrapText="1" indent="2"/>
    </xf>
    <xf numFmtId="3" fontId="15" fillId="0" borderId="0" xfId="0" applyNumberFormat="1" applyFont="1" applyFill="1" applyBorder="1" applyAlignment="1">
      <alignment horizontal="center" vertical="top" wrapText="1"/>
    </xf>
    <xf numFmtId="0" fontId="15" fillId="0" borderId="17" xfId="0" applyFont="1" applyBorder="1" applyAlignment="1">
      <alignment vertical="top" wrapText="1"/>
    </xf>
    <xf numFmtId="0" fontId="15" fillId="0" borderId="0" xfId="0" applyFont="1" applyBorder="1" applyAlignment="1">
      <alignment horizontal="left" vertical="top" wrapText="1" indent="2"/>
    </xf>
    <xf numFmtId="0" fontId="15" fillId="0" borderId="0" xfId="0" applyFont="1" applyFill="1" applyBorder="1" applyAlignment="1">
      <alignment vertical="top" wrapText="1"/>
    </xf>
    <xf numFmtId="0" fontId="15" fillId="0" borderId="7" xfId="0" applyFont="1" applyFill="1" applyBorder="1" applyAlignment="1">
      <alignment vertical="top" wrapText="1"/>
    </xf>
    <xf numFmtId="0" fontId="15" fillId="0" borderId="1" xfId="0" applyFont="1" applyFill="1" applyBorder="1" applyAlignment="1">
      <alignment horizontal="left" wrapText="1" indent="4"/>
    </xf>
    <xf numFmtId="0" fontId="49" fillId="0" borderId="2" xfId="0" applyFont="1" applyFill="1" applyBorder="1" applyAlignment="1">
      <alignment horizontal="center" wrapText="1"/>
    </xf>
    <xf numFmtId="0" fontId="49" fillId="0" borderId="2" xfId="0" applyFont="1" applyFill="1" applyBorder="1" applyAlignment="1">
      <alignment wrapText="1"/>
    </xf>
    <xf numFmtId="0" fontId="15" fillId="0" borderId="0" xfId="0" applyFont="1" applyFill="1" applyAlignment="1">
      <alignment horizontal="center"/>
    </xf>
    <xf numFmtId="0" fontId="49" fillId="0" borderId="0" xfId="0" applyFont="1" applyFill="1" applyBorder="1" applyAlignment="1">
      <alignment horizontal="left" wrapText="1"/>
    </xf>
    <xf numFmtId="3" fontId="15" fillId="0" borderId="7" xfId="0" quotePrefix="1" applyNumberFormat="1" applyFont="1" applyBorder="1" applyAlignment="1">
      <alignment horizontal="center" wrapText="1"/>
    </xf>
    <xf numFmtId="3" fontId="15" fillId="0" borderId="7" xfId="0" quotePrefix="1" applyNumberFormat="1" applyFont="1" applyFill="1" applyBorder="1" applyAlignment="1">
      <alignment horizontal="center" wrapText="1"/>
    </xf>
    <xf numFmtId="3" fontId="15" fillId="0" borderId="21" xfId="0" quotePrefix="1" applyNumberFormat="1" applyFont="1" applyFill="1" applyBorder="1" applyAlignment="1">
      <alignment horizontal="center" wrapText="1"/>
    </xf>
    <xf numFmtId="0" fontId="15" fillId="47" borderId="0" xfId="0" applyFont="1" applyFill="1" applyAlignment="1">
      <alignment horizontal="left" indent="2"/>
    </xf>
    <xf numFmtId="0" fontId="15" fillId="47" borderId="0" xfId="0" applyFont="1" applyFill="1" applyAlignment="1">
      <alignment horizontal="right"/>
    </xf>
    <xf numFmtId="0" fontId="15" fillId="0" borderId="0" xfId="0" applyFont="1" applyFill="1" applyBorder="1" applyAlignment="1">
      <alignment horizontal="left" wrapText="1" indent="2"/>
    </xf>
    <xf numFmtId="0" fontId="15" fillId="0" borderId="0" xfId="0" applyFont="1" applyFill="1" applyBorder="1" applyAlignment="1">
      <alignment horizontal="left" wrapText="1" indent="4"/>
    </xf>
    <xf numFmtId="0" fontId="15" fillId="0" borderId="7" xfId="0" applyFont="1" applyFill="1" applyBorder="1" applyAlignment="1">
      <alignment wrapText="1"/>
    </xf>
    <xf numFmtId="0" fontId="15" fillId="0" borderId="0" xfId="0" applyFont="1" applyFill="1" applyAlignment="1">
      <alignment horizontal="left" wrapText="1" indent="4"/>
    </xf>
    <xf numFmtId="0" fontId="15" fillId="0" borderId="6" xfId="0" applyFont="1" applyFill="1" applyBorder="1" applyAlignment="1">
      <alignment horizontal="left" wrapText="1" indent="4"/>
    </xf>
    <xf numFmtId="3" fontId="15" fillId="0" borderId="5" xfId="0" quotePrefix="1" applyNumberFormat="1" applyFont="1" applyFill="1" applyBorder="1" applyAlignment="1">
      <alignment horizontal="center" wrapText="1"/>
    </xf>
    <xf numFmtId="0" fontId="15" fillId="0" borderId="1" xfId="0" applyFont="1" applyFill="1" applyBorder="1" applyAlignment="1">
      <alignment horizontal="center" wrapText="1"/>
    </xf>
    <xf numFmtId="0" fontId="47" fillId="0" borderId="0" xfId="0" applyFont="1" applyAlignment="1">
      <alignment horizontal="left" vertical="top"/>
    </xf>
    <xf numFmtId="0" fontId="52" fillId="0" borderId="0" xfId="0" applyFont="1" applyFill="1"/>
    <xf numFmtId="164" fontId="15" fillId="0" borderId="1" xfId="0" applyNumberFormat="1" applyFont="1" applyFill="1" applyBorder="1" applyAlignment="1">
      <alignment horizontal="center" wrapText="1"/>
    </xf>
    <xf numFmtId="164" fontId="15" fillId="0" borderId="6" xfId="0" applyNumberFormat="1" applyFont="1" applyFill="1" applyBorder="1" applyAlignment="1">
      <alignment horizontal="center" wrapText="1"/>
    </xf>
    <xf numFmtId="0" fontId="15" fillId="0" borderId="1" xfId="0" applyFont="1" applyBorder="1" applyAlignment="1">
      <alignment horizontal="left" wrapText="1" indent="1"/>
    </xf>
    <xf numFmtId="0" fontId="15" fillId="0" borderId="1" xfId="0" applyFont="1" applyBorder="1" applyAlignment="1">
      <alignment horizontal="left" wrapText="1" indent="4"/>
    </xf>
    <xf numFmtId="0" fontId="15" fillId="0" borderId="1" xfId="0" applyFont="1" applyBorder="1" applyAlignment="1">
      <alignment horizontal="left" wrapText="1" indent="2"/>
    </xf>
    <xf numFmtId="0" fontId="54" fillId="0" borderId="0" xfId="0" applyFont="1"/>
    <xf numFmtId="0" fontId="15" fillId="0" borderId="17" xfId="0" applyFont="1" applyFill="1" applyBorder="1" applyAlignment="1">
      <alignment horizontal="center"/>
    </xf>
    <xf numFmtId="0" fontId="49" fillId="0" borderId="0" xfId="0" applyFont="1" applyFill="1" applyBorder="1" applyAlignment="1">
      <alignment vertical="top" wrapText="1"/>
    </xf>
    <xf numFmtId="166" fontId="15" fillId="44" borderId="5" xfId="0" applyNumberFormat="1" applyFont="1" applyFill="1" applyBorder="1" applyAlignment="1">
      <alignment horizontal="center" wrapText="1"/>
    </xf>
    <xf numFmtId="166" fontId="15" fillId="44" borderId="21" xfId="0" applyNumberFormat="1" applyFont="1" applyFill="1" applyBorder="1" applyAlignment="1">
      <alignment horizontal="center" wrapText="1"/>
    </xf>
    <xf numFmtId="166" fontId="15" fillId="0" borderId="0" xfId="0" applyNumberFormat="1" applyFont="1" applyFill="1" applyBorder="1" applyAlignment="1">
      <alignment horizontal="center" wrapText="1"/>
    </xf>
    <xf numFmtId="0" fontId="49" fillId="0" borderId="0" xfId="0" applyFont="1" applyBorder="1" applyAlignment="1">
      <alignment wrapText="1"/>
    </xf>
    <xf numFmtId="0" fontId="49" fillId="0" borderId="0" xfId="0" applyFont="1" applyAlignment="1">
      <alignment wrapText="1"/>
    </xf>
    <xf numFmtId="0" fontId="15" fillId="0" borderId="0" xfId="0" applyFont="1" applyFill="1" applyBorder="1" applyAlignment="1">
      <alignment horizontal="center" wrapText="1"/>
    </xf>
    <xf numFmtId="166" fontId="50" fillId="0" borderId="0" xfId="0" quotePrefix="1" applyNumberFormat="1" applyFont="1" applyBorder="1" applyAlignment="1">
      <alignment horizontal="center" wrapText="1"/>
    </xf>
    <xf numFmtId="3" fontId="49" fillId="0" borderId="3" xfId="0" quotePrefix="1" applyNumberFormat="1" applyFont="1" applyBorder="1" applyAlignment="1">
      <alignment horizontal="center" wrapText="1"/>
    </xf>
    <xf numFmtId="3" fontId="15" fillId="0" borderId="0" xfId="0" quotePrefix="1" applyNumberFormat="1" applyFont="1" applyFill="1" applyBorder="1" applyAlignment="1">
      <alignment horizontal="left" vertical="top" wrapText="1"/>
    </xf>
    <xf numFmtId="166" fontId="15" fillId="44" borderId="19" xfId="0" applyNumberFormat="1" applyFont="1" applyFill="1" applyBorder="1" applyAlignment="1">
      <alignment horizontal="center" wrapText="1"/>
    </xf>
    <xf numFmtId="3" fontId="15" fillId="0" borderId="0" xfId="0" quotePrefix="1" applyNumberFormat="1" applyFont="1" applyFill="1" applyBorder="1" applyAlignment="1">
      <alignment vertical="top" wrapText="1"/>
    </xf>
    <xf numFmtId="166" fontId="15" fillId="0" borderId="0" xfId="0" applyNumberFormat="1" applyFont="1" applyFill="1"/>
    <xf numFmtId="164" fontId="21" fillId="0" borderId="0" xfId="37" applyNumberFormat="1" applyFont="1" applyFill="1"/>
    <xf numFmtId="0" fontId="15" fillId="0" borderId="6" xfId="0" applyFont="1" applyFill="1" applyBorder="1" applyAlignment="1"/>
    <xf numFmtId="0" fontId="15" fillId="0" borderId="18" xfId="0" applyFont="1" applyBorder="1"/>
    <xf numFmtId="0" fontId="15" fillId="0" borderId="17" xfId="0" applyFont="1" applyBorder="1"/>
    <xf numFmtId="0" fontId="50" fillId="0" borderId="1" xfId="0" applyFont="1" applyBorder="1"/>
    <xf numFmtId="0" fontId="50" fillId="0" borderId="0" xfId="0" applyFont="1" applyBorder="1"/>
    <xf numFmtId="0" fontId="50" fillId="0" borderId="6" xfId="0" applyFont="1" applyBorder="1"/>
    <xf numFmtId="0" fontId="50" fillId="0" borderId="5" xfId="0" applyFont="1" applyBorder="1"/>
    <xf numFmtId="0" fontId="21" fillId="41" borderId="6" xfId="0" applyFont="1" applyFill="1" applyBorder="1" applyAlignment="1">
      <alignment horizontal="center"/>
    </xf>
    <xf numFmtId="0" fontId="21" fillId="41" borderId="5" xfId="0" applyFont="1" applyFill="1" applyBorder="1" applyAlignment="1">
      <alignment horizontal="center"/>
    </xf>
    <xf numFmtId="3" fontId="15" fillId="44" borderId="1" xfId="0" applyNumberFormat="1" applyFont="1" applyFill="1" applyBorder="1" applyAlignment="1">
      <alignment horizontal="center" wrapText="1"/>
    </xf>
    <xf numFmtId="0" fontId="55" fillId="0" borderId="1" xfId="0" applyFont="1" applyBorder="1" applyAlignment="1">
      <alignment horizontal="left" indent="2"/>
    </xf>
    <xf numFmtId="0" fontId="15" fillId="0" borderId="5" xfId="0" applyFont="1" applyBorder="1" applyAlignment="1">
      <alignment horizontal="center"/>
    </xf>
    <xf numFmtId="165" fontId="15" fillId="0" borderId="0" xfId="0" applyNumberFormat="1" applyFont="1" applyBorder="1" applyAlignment="1">
      <alignment horizontal="center" wrapText="1"/>
    </xf>
    <xf numFmtId="0" fontId="15" fillId="0" borderId="1" xfId="0" applyFont="1" applyBorder="1" applyAlignment="1">
      <alignment horizontal="center"/>
    </xf>
    <xf numFmtId="0" fontId="15" fillId="0" borderId="6" xfId="0" applyFont="1" applyBorder="1" applyAlignment="1">
      <alignment horizontal="center"/>
    </xf>
    <xf numFmtId="0" fontId="21" fillId="41" borderId="0" xfId="0" applyFont="1" applyFill="1" applyBorder="1" applyAlignment="1">
      <alignment horizontal="center"/>
    </xf>
    <xf numFmtId="0" fontId="15" fillId="41" borderId="0" xfId="0" applyFont="1" applyFill="1" applyBorder="1" applyAlignment="1">
      <alignment horizontal="center"/>
    </xf>
    <xf numFmtId="0" fontId="0" fillId="0" borderId="0" xfId="0" applyBorder="1"/>
    <xf numFmtId="0" fontId="15" fillId="0" borderId="6" xfId="0" applyFont="1" applyBorder="1" applyAlignment="1">
      <alignment wrapText="1"/>
    </xf>
    <xf numFmtId="168" fontId="15" fillId="0" borderId="5" xfId="1" applyNumberFormat="1" applyFont="1" applyBorder="1"/>
    <xf numFmtId="43" fontId="55" fillId="0" borderId="0" xfId="0" applyNumberFormat="1" applyFont="1"/>
    <xf numFmtId="167" fontId="15" fillId="0" borderId="0" xfId="2" applyNumberFormat="1" applyFont="1"/>
    <xf numFmtId="0" fontId="56" fillId="0" borderId="18" xfId="0" applyFont="1" applyBorder="1" applyAlignment="1">
      <alignment horizontal="left"/>
    </xf>
    <xf numFmtId="0" fontId="15" fillId="41" borderId="7" xfId="0" applyFont="1" applyFill="1" applyBorder="1" applyAlignment="1">
      <alignment horizontal="center"/>
    </xf>
    <xf numFmtId="0" fontId="49" fillId="0" borderId="0" xfId="0" applyFont="1" applyFill="1" applyAlignment="1">
      <alignment vertical="top" wrapText="1"/>
    </xf>
    <xf numFmtId="164" fontId="15" fillId="0" borderId="1" xfId="0" applyNumberFormat="1" applyFont="1" applyBorder="1" applyAlignment="1">
      <alignment horizontal="center"/>
    </xf>
    <xf numFmtId="164" fontId="15" fillId="0" borderId="0" xfId="0" applyNumberFormat="1" applyFont="1" applyBorder="1" applyAlignment="1">
      <alignment horizontal="center"/>
    </xf>
    <xf numFmtId="0" fontId="15" fillId="0" borderId="1" xfId="0" applyFont="1" applyBorder="1" applyAlignment="1">
      <alignment horizontal="left"/>
    </xf>
    <xf numFmtId="164" fontId="15" fillId="44" borderId="0" xfId="0" applyNumberFormat="1" applyFont="1" applyFill="1" applyBorder="1" applyAlignment="1">
      <alignment horizontal="center"/>
    </xf>
    <xf numFmtId="10" fontId="15" fillId="0" borderId="0" xfId="2" applyNumberFormat="1" applyFont="1"/>
    <xf numFmtId="0" fontId="15" fillId="0" borderId="6" xfId="0" applyFont="1" applyBorder="1" applyAlignment="1">
      <alignment horizontal="left" indent="4"/>
    </xf>
    <xf numFmtId="0" fontId="15" fillId="41" borderId="1" xfId="0" applyFont="1" applyFill="1" applyBorder="1" applyAlignment="1">
      <alignment horizontal="center"/>
    </xf>
    <xf numFmtId="0" fontId="15" fillId="0" borderId="1" xfId="0" applyFont="1" applyBorder="1" applyAlignment="1">
      <alignment horizontal="left" indent="2"/>
    </xf>
    <xf numFmtId="164" fontId="15" fillId="44" borderId="0" xfId="0" quotePrefix="1" applyNumberFormat="1" applyFont="1" applyFill="1" applyBorder="1" applyAlignment="1">
      <alignment horizontal="center" wrapText="1"/>
    </xf>
    <xf numFmtId="0" fontId="58" fillId="0" borderId="0" xfId="0" applyFont="1"/>
    <xf numFmtId="0" fontId="15" fillId="0" borderId="5" xfId="0" applyFont="1" applyFill="1" applyBorder="1" applyAlignment="1"/>
    <xf numFmtId="164" fontId="50" fillId="0" borderId="1" xfId="0" applyNumberFormat="1" applyFont="1" applyBorder="1" applyAlignment="1">
      <alignment horizontal="center"/>
    </xf>
    <xf numFmtId="164" fontId="15" fillId="44" borderId="1" xfId="0" applyNumberFormat="1" applyFont="1" applyFill="1" applyBorder="1" applyAlignment="1">
      <alignment horizontal="center"/>
    </xf>
    <xf numFmtId="0" fontId="15" fillId="0" borderId="0" xfId="0" applyFont="1" applyBorder="1" applyAlignment="1">
      <alignment horizontal="center" vertical="top" wrapText="1"/>
    </xf>
    <xf numFmtId="0" fontId="21" fillId="41" borderId="1" xfId="0" applyFont="1" applyFill="1" applyBorder="1" applyAlignment="1">
      <alignment horizontal="center"/>
    </xf>
    <xf numFmtId="0" fontId="46" fillId="0" borderId="0" xfId="511"/>
    <xf numFmtId="0" fontId="15" fillId="41" borderId="24" xfId="0" applyFont="1" applyFill="1" applyBorder="1" applyAlignment="1">
      <alignment horizontal="center"/>
    </xf>
    <xf numFmtId="168" fontId="15" fillId="0" borderId="21" xfId="0" applyNumberFormat="1" applyFont="1" applyBorder="1" applyAlignment="1">
      <alignment horizontal="center"/>
    </xf>
    <xf numFmtId="0" fontId="15" fillId="0" borderId="6" xfId="0" applyFont="1" applyBorder="1"/>
    <xf numFmtId="0" fontId="21" fillId="41" borderId="22" xfId="0" applyFont="1" applyFill="1" applyBorder="1" applyAlignment="1">
      <alignment horizontal="center"/>
    </xf>
    <xf numFmtId="0" fontId="56" fillId="0" borderId="17" xfId="0" applyFont="1" applyBorder="1" applyAlignment="1">
      <alignment horizontal="center"/>
    </xf>
    <xf numFmtId="2" fontId="21" fillId="0" borderId="0" xfId="37" applyNumberFormat="1" applyFont="1" applyAlignment="1">
      <alignment horizontal="right"/>
    </xf>
    <xf numFmtId="0" fontId="21" fillId="41" borderId="24" xfId="0" applyFont="1" applyFill="1" applyBorder="1" applyAlignment="1">
      <alignment horizontal="center"/>
    </xf>
    <xf numFmtId="164" fontId="15" fillId="48" borderId="0" xfId="0" quotePrefix="1" applyNumberFormat="1" applyFont="1" applyFill="1" applyBorder="1" applyAlignment="1">
      <alignment horizontal="center" wrapText="1"/>
    </xf>
    <xf numFmtId="170" fontId="15" fillId="0" borderId="0" xfId="0" applyNumberFormat="1" applyFont="1"/>
    <xf numFmtId="164" fontId="15" fillId="0" borderId="0" xfId="0" applyNumberFormat="1" applyFont="1"/>
    <xf numFmtId="0" fontId="15" fillId="0" borderId="21" xfId="0" applyFont="1" applyBorder="1" applyAlignment="1">
      <alignment horizontal="center"/>
    </xf>
    <xf numFmtId="168" fontId="15" fillId="0" borderId="7" xfId="0" applyNumberFormat="1" applyFont="1" applyBorder="1" applyAlignment="1">
      <alignment horizontal="center"/>
    </xf>
    <xf numFmtId="168" fontId="15" fillId="0" borderId="1" xfId="0" applyNumberFormat="1" applyFont="1" applyBorder="1" applyAlignment="1">
      <alignment horizontal="center"/>
    </xf>
    <xf numFmtId="0" fontId="0" fillId="0" borderId="0" xfId="0"/>
    <xf numFmtId="0" fontId="15" fillId="0" borderId="0" xfId="0" applyFont="1"/>
    <xf numFmtId="3" fontId="21" fillId="0" borderId="0" xfId="11" applyNumberFormat="1" applyFont="1" applyAlignment="1">
      <alignment horizontal="right"/>
    </xf>
    <xf numFmtId="0" fontId="0" fillId="44" borderId="7" xfId="0" applyFill="1" applyBorder="1"/>
    <xf numFmtId="168" fontId="15" fillId="44" borderId="5" xfId="2" applyNumberFormat="1" applyFont="1" applyFill="1" applyBorder="1" applyAlignment="1">
      <alignment horizontal="center"/>
    </xf>
    <xf numFmtId="0" fontId="50" fillId="0" borderId="0" xfId="0" applyFont="1" applyBorder="1" applyAlignment="1">
      <alignment horizontal="center" wrapText="1"/>
    </xf>
    <xf numFmtId="0" fontId="15" fillId="0" borderId="1" xfId="0" applyFont="1" applyBorder="1" applyAlignment="1">
      <alignment horizontal="left" wrapText="1" indent="3"/>
    </xf>
    <xf numFmtId="0" fontId="49" fillId="0" borderId="0" xfId="0" applyFont="1" applyBorder="1" applyAlignment="1">
      <alignment horizontal="center"/>
    </xf>
    <xf numFmtId="0" fontId="0" fillId="44" borderId="0" xfId="0" applyFill="1" applyBorder="1"/>
    <xf numFmtId="0" fontId="22" fillId="0" borderId="17" xfId="0" applyFont="1" applyFill="1" applyBorder="1" applyAlignment="1">
      <alignment horizontal="center"/>
    </xf>
    <xf numFmtId="0" fontId="15" fillId="2" borderId="1" xfId="0" applyFont="1" applyFill="1" applyBorder="1" applyAlignment="1">
      <alignment horizontal="left" vertical="top" wrapText="1" indent="3"/>
    </xf>
    <xf numFmtId="0" fontId="21" fillId="0" borderId="1" xfId="0" applyFont="1" applyBorder="1" applyAlignment="1">
      <alignment horizontal="left" wrapText="1" indent="3"/>
    </xf>
    <xf numFmtId="0" fontId="15" fillId="2" borderId="0" xfId="0" applyFont="1" applyFill="1" applyBorder="1" applyAlignment="1">
      <alignment horizontal="center" vertical="top" wrapText="1"/>
    </xf>
    <xf numFmtId="0" fontId="15" fillId="0" borderId="0" xfId="0" applyFont="1"/>
    <xf numFmtId="168" fontId="15" fillId="0" borderId="5" xfId="0" applyNumberFormat="1" applyFont="1" applyBorder="1" applyAlignment="1">
      <alignment horizontal="center"/>
    </xf>
    <xf numFmtId="0" fontId="50" fillId="0" borderId="1" xfId="0" applyFont="1" applyFill="1" applyBorder="1" applyAlignment="1">
      <alignment horizontal="right" wrapText="1" indent="2"/>
    </xf>
    <xf numFmtId="164" fontId="46" fillId="0" borderId="0" xfId="511" applyNumberFormat="1"/>
    <xf numFmtId="0" fontId="15" fillId="0" borderId="1" xfId="0" applyFont="1" applyFill="1" applyBorder="1" applyAlignment="1">
      <alignment horizontal="right" wrapText="1" indent="2"/>
    </xf>
    <xf numFmtId="0" fontId="50" fillId="0" borderId="1" xfId="0" applyFont="1" applyFill="1" applyBorder="1" applyAlignment="1">
      <alignment horizontal="left" wrapText="1" indent="2"/>
    </xf>
    <xf numFmtId="10" fontId="0" fillId="0" borderId="0" xfId="517" applyNumberFormat="1" applyFont="1"/>
    <xf numFmtId="0" fontId="15" fillId="0" borderId="1" xfId="0" applyFont="1" applyFill="1" applyBorder="1" applyAlignment="1">
      <alignment horizontal="left" wrapText="1"/>
    </xf>
    <xf numFmtId="164" fontId="50" fillId="0" borderId="0" xfId="0" applyNumberFormat="1" applyFont="1" applyFill="1" applyBorder="1" applyAlignment="1">
      <alignment horizontal="center"/>
    </xf>
    <xf numFmtId="0" fontId="0" fillId="0" borderId="0" xfId="0"/>
    <xf numFmtId="3" fontId="21" fillId="0" borderId="0" xfId="11" applyNumberFormat="1" applyFont="1" applyAlignment="1">
      <alignment horizontal="right"/>
    </xf>
    <xf numFmtId="0" fontId="21" fillId="0" borderId="0" xfId="11" applyFont="1" applyAlignment="1">
      <alignment horizontal="left" indent="1"/>
    </xf>
    <xf numFmtId="0" fontId="0" fillId="0" borderId="0" xfId="0"/>
    <xf numFmtId="1" fontId="21" fillId="0" borderId="0" xfId="9" applyNumberFormat="1" applyFont="1" applyAlignment="1">
      <alignment horizontal="right"/>
    </xf>
    <xf numFmtId="1" fontId="21" fillId="0" borderId="5" xfId="9" applyNumberFormat="1" applyFont="1" applyBorder="1" applyAlignment="1"/>
    <xf numFmtId="3" fontId="21" fillId="0" borderId="0" xfId="0" applyNumberFormat="1" applyFont="1" applyFill="1" applyAlignment="1"/>
    <xf numFmtId="0" fontId="21" fillId="0" borderId="0" xfId="12" applyFont="1"/>
    <xf numFmtId="0" fontId="21" fillId="0" borderId="0" xfId="0" applyFont="1" applyFill="1" applyBorder="1" applyAlignment="1"/>
    <xf numFmtId="0" fontId="21" fillId="0" borderId="0" xfId="0" applyNumberFormat="1" applyFont="1" applyFill="1" applyBorder="1" applyAlignment="1"/>
    <xf numFmtId="3" fontId="21" fillId="0" borderId="0" xfId="0" applyNumberFormat="1" applyFont="1" applyFill="1" applyBorder="1" applyAlignment="1"/>
    <xf numFmtId="3" fontId="21" fillId="0" borderId="0" xfId="0" applyNumberFormat="1" applyFont="1" applyFill="1" applyBorder="1" applyAlignment="1">
      <alignment horizontal="right"/>
    </xf>
    <xf numFmtId="3" fontId="21" fillId="0" borderId="5" xfId="0" applyNumberFormat="1" applyFont="1" applyFill="1" applyBorder="1" applyAlignment="1"/>
    <xf numFmtId="3" fontId="21" fillId="0" borderId="5" xfId="0" applyNumberFormat="1" applyFont="1" applyFill="1" applyBorder="1" applyAlignment="1">
      <alignment horizontal="right"/>
    </xf>
    <xf numFmtId="0" fontId="0" fillId="0" borderId="0" xfId="0" applyFont="1" applyFill="1"/>
    <xf numFmtId="0" fontId="21" fillId="0" borderId="5" xfId="3" applyNumberFormat="1" applyFont="1" applyBorder="1" applyAlignment="1"/>
    <xf numFmtId="0" fontId="21" fillId="0" borderId="5" xfId="3" applyFont="1" applyBorder="1" applyAlignment="1"/>
    <xf numFmtId="0" fontId="21" fillId="0" borderId="5" xfId="0" applyNumberFormat="1" applyFont="1" applyFill="1" applyBorder="1" applyAlignment="1"/>
    <xf numFmtId="0" fontId="21" fillId="0" borderId="5" xfId="0" applyNumberFormat="1" applyFont="1" applyFill="1" applyBorder="1" applyAlignment="1">
      <alignment horizontal="right"/>
    </xf>
    <xf numFmtId="0" fontId="21" fillId="0" borderId="0" xfId="0" applyNumberFormat="1" applyFont="1" applyFill="1" applyBorder="1" applyAlignment="1">
      <alignment horizontal="right"/>
    </xf>
    <xf numFmtId="0" fontId="21" fillId="0" borderId="0" xfId="0" applyNumberFormat="1" applyFont="1" applyFill="1" applyAlignment="1"/>
    <xf numFmtId="3" fontId="21" fillId="0" borderId="17" xfId="0" applyNumberFormat="1" applyFont="1" applyFill="1" applyBorder="1" applyAlignment="1">
      <alignment horizontal="right"/>
    </xf>
    <xf numFmtId="3" fontId="21" fillId="0" borderId="0" xfId="0" applyNumberFormat="1" applyFont="1" applyFill="1" applyAlignment="1">
      <alignment horizontal="right"/>
    </xf>
    <xf numFmtId="0" fontId="21" fillId="0" borderId="0" xfId="0" applyNumberFormat="1" applyFont="1" applyFill="1" applyAlignment="1">
      <alignment vertical="center"/>
    </xf>
    <xf numFmtId="0" fontId="21" fillId="0" borderId="0" xfId="0" applyNumberFormat="1" applyFont="1" applyFill="1" applyAlignment="1">
      <alignment horizontal="right" vertical="center"/>
    </xf>
    <xf numFmtId="0" fontId="21" fillId="0" borderId="5" xfId="0" applyNumberFormat="1" applyFont="1" applyFill="1" applyBorder="1" applyAlignment="1">
      <alignment vertical="center"/>
    </xf>
    <xf numFmtId="0" fontId="21" fillId="0" borderId="5" xfId="0" applyNumberFormat="1" applyFont="1" applyFill="1" applyBorder="1" applyAlignment="1">
      <alignment horizontal="right" vertical="center"/>
    </xf>
    <xf numFmtId="0" fontId="55" fillId="0" borderId="0" xfId="0" applyFont="1"/>
    <xf numFmtId="0" fontId="61" fillId="0" borderId="0" xfId="499" applyFont="1" applyFill="1" applyAlignment="1">
      <alignment vertical="center"/>
    </xf>
    <xf numFmtId="0" fontId="20" fillId="0" borderId="0" xfId="499" applyFont="1" applyFill="1" applyAlignment="1">
      <alignment horizontal="left"/>
    </xf>
    <xf numFmtId="0" fontId="21" fillId="0" borderId="0" xfId="0" applyNumberFormat="1" applyFont="1" applyFill="1" applyAlignment="1">
      <alignment horizontal="left" vertical="top" wrapText="1"/>
    </xf>
    <xf numFmtId="0" fontId="55" fillId="0" borderId="1" xfId="0" applyFont="1" applyBorder="1" applyAlignment="1">
      <alignment horizontal="left" indent="5"/>
    </xf>
    <xf numFmtId="0" fontId="0" fillId="0" borderId="0" xfId="0" applyBorder="1" applyAlignment="1"/>
    <xf numFmtId="0" fontId="20" fillId="0" borderId="0" xfId="7"/>
    <xf numFmtId="166" fontId="21" fillId="0" borderId="0" xfId="0" applyNumberFormat="1" applyFont="1" applyFill="1" applyBorder="1" applyAlignment="1"/>
    <xf numFmtId="1" fontId="0" fillId="0" borderId="0" xfId="0" applyNumberFormat="1" applyAlignment="1">
      <alignment horizontal="center"/>
    </xf>
    <xf numFmtId="0" fontId="15" fillId="0" borderId="1" xfId="0" applyFont="1" applyBorder="1" applyAlignment="1">
      <alignment horizontal="left" vertical="top" wrapText="1" indent="5"/>
    </xf>
    <xf numFmtId="3" fontId="0" fillId="0" borderId="0" xfId="0" applyNumberFormat="1"/>
    <xf numFmtId="0" fontId="0" fillId="0" borderId="0" xfId="0" applyFill="1"/>
    <xf numFmtId="166" fontId="21" fillId="0" borderId="0" xfId="0" applyNumberFormat="1" applyFont="1" applyFill="1" applyBorder="1" applyAlignment="1">
      <alignment horizontal="right"/>
    </xf>
    <xf numFmtId="0" fontId="0" fillId="0" borderId="0" xfId="0"/>
    <xf numFmtId="0" fontId="15" fillId="0" borderId="0" xfId="0" applyFont="1"/>
    <xf numFmtId="0" fontId="49" fillId="0" borderId="0" xfId="0" applyFont="1" applyFill="1" applyBorder="1" applyAlignment="1">
      <alignment horizontal="center"/>
    </xf>
    <xf numFmtId="0" fontId="15" fillId="0" borderId="0" xfId="0" applyFont="1" applyFill="1" applyBorder="1" applyAlignment="1">
      <alignment horizontal="center"/>
    </xf>
    <xf numFmtId="0" fontId="49" fillId="0" borderId="0" xfId="0" applyFont="1" applyAlignment="1">
      <alignment horizontal="left" vertical="top" wrapText="1"/>
    </xf>
    <xf numFmtId="0" fontId="15" fillId="0" borderId="0" xfId="0" applyFont="1" applyAlignment="1">
      <alignment horizontal="left" vertical="top" wrapText="1"/>
    </xf>
    <xf numFmtId="0" fontId="0" fillId="0" borderId="0" xfId="0" applyAlignment="1">
      <alignment horizontal="center"/>
    </xf>
    <xf numFmtId="0" fontId="0" fillId="0" borderId="0" xfId="0"/>
    <xf numFmtId="0" fontId="64" fillId="0" borderId="0" xfId="5" applyFont="1"/>
    <xf numFmtId="0" fontId="18" fillId="0" borderId="0" xfId="5"/>
    <xf numFmtId="0" fontId="18" fillId="0" borderId="0" xfId="5" applyAlignment="1">
      <alignment horizontal="left" indent="1"/>
    </xf>
    <xf numFmtId="0" fontId="18" fillId="0" borderId="0" xfId="5" applyAlignment="1">
      <alignment horizontal="left" wrapText="1" indent="1"/>
    </xf>
    <xf numFmtId="0" fontId="18" fillId="0" borderId="0" xfId="5" applyAlignment="1">
      <alignment horizontal="left" indent="2"/>
    </xf>
    <xf numFmtId="0" fontId="4" fillId="5" borderId="0" xfId="0" applyFont="1" applyFill="1" applyAlignment="1">
      <alignment wrapText="1"/>
    </xf>
    <xf numFmtId="0" fontId="4" fillId="53" borderId="0" xfId="0" applyFont="1" applyFill="1" applyAlignment="1">
      <alignment wrapText="1"/>
    </xf>
    <xf numFmtId="0" fontId="5" fillId="53" borderId="0" xfId="0" applyFont="1" applyFill="1" applyAlignment="1">
      <alignment vertical="top"/>
    </xf>
    <xf numFmtId="0" fontId="4" fillId="53" borderId="0" xfId="0" applyFont="1" applyFill="1" applyAlignment="1">
      <alignment horizontal="right"/>
    </xf>
    <xf numFmtId="0" fontId="4" fillId="53" borderId="0" xfId="0" applyFont="1" applyFill="1"/>
    <xf numFmtId="164" fontId="4" fillId="53" borderId="0" xfId="0" applyNumberFormat="1" applyFont="1" applyFill="1" applyAlignment="1">
      <alignment horizontal="center"/>
    </xf>
    <xf numFmtId="0" fontId="6" fillId="0" borderId="0" xfId="0" applyFont="1" applyAlignment="1">
      <alignment horizontal="center"/>
    </xf>
    <xf numFmtId="0" fontId="15" fillId="0" borderId="26" xfId="0" applyFont="1" applyBorder="1"/>
    <xf numFmtId="0" fontId="15" fillId="0" borderId="27" xfId="0" applyFont="1" applyBorder="1"/>
    <xf numFmtId="168" fontId="15" fillId="0" borderId="0" xfId="0" applyNumberFormat="1" applyFont="1"/>
    <xf numFmtId="0" fontId="0" fillId="0" borderId="0" xfId="0"/>
    <xf numFmtId="0" fontId="0" fillId="0" borderId="0" xfId="0" applyAlignment="1">
      <alignment horizontal="center"/>
    </xf>
    <xf numFmtId="0" fontId="50" fillId="0" borderId="1" xfId="0" applyFont="1" applyFill="1" applyBorder="1" applyAlignment="1">
      <alignment horizontal="left" wrapText="1"/>
    </xf>
    <xf numFmtId="0" fontId="0" fillId="53" borderId="0" xfId="0" applyFill="1" applyAlignment="1">
      <alignment wrapText="1"/>
    </xf>
    <xf numFmtId="0" fontId="18" fillId="0" borderId="0" xfId="5" applyAlignment="1">
      <alignment horizontal="center" wrapText="1"/>
    </xf>
    <xf numFmtId="9" fontId="18" fillId="0" borderId="0" xfId="5" applyNumberFormat="1" applyAlignment="1">
      <alignment horizontal="center"/>
    </xf>
    <xf numFmtId="167" fontId="18" fillId="0" borderId="0" xfId="2" applyNumberFormat="1" applyFont="1" applyAlignment="1">
      <alignment horizontal="center"/>
    </xf>
    <xf numFmtId="167" fontId="0" fillId="0" borderId="0" xfId="2" applyNumberFormat="1" applyFont="1" applyAlignment="1">
      <alignment horizontal="center"/>
    </xf>
    <xf numFmtId="0" fontId="64" fillId="0" borderId="0" xfId="2" applyNumberFormat="1" applyFont="1" applyAlignment="1">
      <alignment horizontal="center"/>
    </xf>
    <xf numFmtId="0" fontId="46" fillId="0" borderId="0" xfId="511" applyAlignment="1">
      <alignment horizontal="center"/>
    </xf>
    <xf numFmtId="2" fontId="46" fillId="0" borderId="0" xfId="511" applyNumberFormat="1" applyAlignment="1">
      <alignment horizontal="center"/>
    </xf>
    <xf numFmtId="0" fontId="4" fillId="0" borderId="0" xfId="0" applyFont="1" applyFill="1" applyAlignment="1">
      <alignment wrapText="1"/>
    </xf>
    <xf numFmtId="0" fontId="0" fillId="0" borderId="0" xfId="0" applyFill="1" applyAlignment="1">
      <alignment wrapText="1"/>
    </xf>
    <xf numFmtId="2" fontId="46" fillId="0" borderId="0" xfId="511" applyNumberFormat="1"/>
    <xf numFmtId="0" fontId="66" fillId="53" borderId="0" xfId="0" applyFont="1" applyFill="1" applyBorder="1" applyAlignment="1">
      <alignment horizontal="center" wrapText="1"/>
    </xf>
    <xf numFmtId="0" fontId="66" fillId="0" borderId="0" xfId="0" applyFont="1" applyFill="1" applyBorder="1" applyAlignment="1">
      <alignment horizontal="left" wrapText="1"/>
    </xf>
    <xf numFmtId="0" fontId="6" fillId="0" borderId="0" xfId="0" applyFont="1" applyFill="1" applyAlignment="1">
      <alignment wrapText="1"/>
    </xf>
    <xf numFmtId="0" fontId="6" fillId="0" borderId="0" xfId="0" applyFont="1" applyFill="1" applyAlignment="1">
      <alignment horizontal="center"/>
    </xf>
    <xf numFmtId="0" fontId="46" fillId="0" borderId="0" xfId="511" applyNumberFormat="1" applyAlignment="1">
      <alignment horizontal="center"/>
    </xf>
    <xf numFmtId="0" fontId="15" fillId="0" borderId="1" xfId="0" applyFont="1" applyBorder="1" applyAlignment="1">
      <alignment horizontal="left" indent="3"/>
    </xf>
    <xf numFmtId="0" fontId="4" fillId="53" borderId="0" xfId="0" applyFont="1" applyFill="1" applyAlignment="1">
      <alignment horizontal="center"/>
    </xf>
    <xf numFmtId="164" fontId="46" fillId="0" borderId="0" xfId="511" applyNumberFormat="1" applyAlignment="1">
      <alignment horizontal="center"/>
    </xf>
    <xf numFmtId="1" fontId="46" fillId="0" borderId="0" xfId="511" applyNumberFormat="1" applyAlignment="1">
      <alignment horizontal="center"/>
    </xf>
    <xf numFmtId="0" fontId="66" fillId="0" borderId="0" xfId="0" applyFont="1" applyFill="1" applyBorder="1" applyAlignment="1">
      <alignment horizontal="center" wrapText="1"/>
    </xf>
    <xf numFmtId="0" fontId="46" fillId="0" borderId="0" xfId="511" applyFill="1"/>
    <xf numFmtId="0" fontId="5" fillId="0" borderId="0" xfId="0" applyFont="1" applyFill="1" applyAlignment="1">
      <alignment vertical="top"/>
    </xf>
    <xf numFmtId="3" fontId="0" fillId="44" borderId="0" xfId="0" applyNumberFormat="1" applyFill="1" applyBorder="1"/>
    <xf numFmtId="0" fontId="49" fillId="0" borderId="27" xfId="0" applyFont="1" applyBorder="1" applyAlignment="1">
      <alignment horizontal="center"/>
    </xf>
    <xf numFmtId="164" fontId="15" fillId="0" borderId="27" xfId="0" applyNumberFormat="1" applyFont="1" applyBorder="1" applyAlignment="1">
      <alignment horizontal="center"/>
    </xf>
    <xf numFmtId="3" fontId="15" fillId="52" borderId="27" xfId="0" applyNumberFormat="1" applyFont="1" applyFill="1" applyBorder="1" applyAlignment="1">
      <alignment horizontal="center"/>
    </xf>
    <xf numFmtId="3" fontId="15" fillId="52" borderId="28" xfId="0" applyNumberFormat="1" applyFont="1" applyFill="1" applyBorder="1" applyAlignment="1">
      <alignment horizontal="center"/>
    </xf>
    <xf numFmtId="0" fontId="15" fillId="0" borderId="18" xfId="0" applyFont="1" applyBorder="1" applyAlignment="1">
      <alignment horizontal="left" wrapText="1"/>
    </xf>
    <xf numFmtId="3" fontId="15" fillId="52" borderId="0" xfId="0" applyNumberFormat="1" applyFont="1" applyFill="1" applyBorder="1" applyAlignment="1">
      <alignment horizontal="center"/>
    </xf>
    <xf numFmtId="0" fontId="49" fillId="0" borderId="0" xfId="0" applyFont="1" applyBorder="1" applyAlignment="1">
      <alignment horizontal="left" vertical="top" wrapText="1" indent="2"/>
    </xf>
    <xf numFmtId="166" fontId="50" fillId="52" borderId="0" xfId="0" quotePrefix="1" applyNumberFormat="1" applyFont="1" applyFill="1" applyBorder="1" applyAlignment="1">
      <alignment horizontal="center" wrapText="1"/>
    </xf>
    <xf numFmtId="166" fontId="50" fillId="52" borderId="7" xfId="0" quotePrefix="1" applyNumberFormat="1" applyFont="1" applyFill="1" applyBorder="1" applyAlignment="1">
      <alignment horizontal="center" wrapText="1"/>
    </xf>
    <xf numFmtId="166" fontId="50" fillId="0" borderId="0" xfId="0" quotePrefix="1" applyNumberFormat="1" applyFont="1" applyFill="1" applyBorder="1" applyAlignment="1">
      <alignment horizontal="center" wrapText="1"/>
    </xf>
    <xf numFmtId="166" fontId="15" fillId="0" borderId="0" xfId="0" applyNumberFormat="1" applyFont="1" applyFill="1" applyBorder="1" applyAlignment="1">
      <alignment horizontal="center" vertical="top" wrapText="1"/>
    </xf>
    <xf numFmtId="166" fontId="15" fillId="0" borderId="0" xfId="0" quotePrefix="1" applyNumberFormat="1" applyFont="1" applyBorder="1" applyAlignment="1">
      <alignment horizontal="center" vertical="top" wrapText="1"/>
    </xf>
    <xf numFmtId="166" fontId="15" fillId="0" borderId="0" xfId="0" applyNumberFormat="1" applyFont="1" applyBorder="1" applyAlignment="1">
      <alignment horizontal="center" vertical="top" wrapText="1"/>
    </xf>
    <xf numFmtId="166" fontId="15" fillId="52" borderId="0" xfId="0" applyNumberFormat="1" applyFont="1" applyFill="1" applyBorder="1" applyAlignment="1">
      <alignment horizontal="center" vertical="top" wrapText="1"/>
    </xf>
    <xf numFmtId="166" fontId="15" fillId="52" borderId="7" xfId="0" applyNumberFormat="1" applyFont="1" applyFill="1" applyBorder="1" applyAlignment="1">
      <alignment horizontal="center" vertical="top" wrapText="1"/>
    </xf>
    <xf numFmtId="3" fontId="15" fillId="0" borderId="5" xfId="0" quotePrefix="1" applyNumberFormat="1" applyFont="1" applyBorder="1" applyAlignment="1">
      <alignment horizontal="center" vertical="top" wrapText="1"/>
    </xf>
    <xf numFmtId="1" fontId="15" fillId="0" borderId="17" xfId="0" applyNumberFormat="1" applyFont="1" applyFill="1" applyBorder="1" applyAlignment="1">
      <alignment horizontal="center"/>
    </xf>
    <xf numFmtId="1" fontId="15" fillId="0" borderId="0" xfId="0" applyNumberFormat="1" applyFont="1" applyFill="1" applyBorder="1" applyAlignment="1">
      <alignment horizontal="center" wrapText="1"/>
    </xf>
    <xf numFmtId="3" fontId="15" fillId="44" borderId="5" xfId="0" quotePrefix="1" applyNumberFormat="1" applyFont="1" applyFill="1" applyBorder="1" applyAlignment="1">
      <alignment horizontal="center"/>
    </xf>
    <xf numFmtId="3" fontId="15" fillId="44" borderId="21" xfId="0" quotePrefix="1" applyNumberFormat="1" applyFont="1" applyFill="1" applyBorder="1" applyAlignment="1">
      <alignment horizontal="center"/>
    </xf>
    <xf numFmtId="3" fontId="21" fillId="44" borderId="0" xfId="37" applyNumberFormat="1" applyFont="1" applyFill="1" applyBorder="1" applyAlignment="1">
      <alignment horizontal="center"/>
    </xf>
    <xf numFmtId="164" fontId="21" fillId="44" borderId="0" xfId="37" applyNumberFormat="1" applyFont="1" applyFill="1" applyBorder="1" applyAlignment="1">
      <alignment horizontal="center"/>
    </xf>
    <xf numFmtId="3" fontId="15" fillId="0" borderId="5" xfId="0" quotePrefix="1" applyNumberFormat="1" applyFont="1" applyBorder="1" applyAlignment="1">
      <alignment horizontal="center"/>
    </xf>
    <xf numFmtId="0" fontId="6" fillId="54" borderId="0" xfId="0" applyFont="1" applyFill="1" applyAlignment="1">
      <alignment wrapText="1"/>
    </xf>
    <xf numFmtId="0" fontId="0" fillId="54" borderId="0" xfId="0" applyFill="1"/>
    <xf numFmtId="1" fontId="15" fillId="0" borderId="5" xfId="0" applyNumberFormat="1" applyFont="1" applyBorder="1" applyAlignment="1">
      <alignment horizontal="center"/>
    </xf>
    <xf numFmtId="1" fontId="15" fillId="0" borderId="6" xfId="0" applyNumberFormat="1" applyFont="1" applyBorder="1" applyAlignment="1">
      <alignment horizontal="center"/>
    </xf>
    <xf numFmtId="0" fontId="49" fillId="0" borderId="0" xfId="0" applyFont="1" applyBorder="1" applyAlignment="1">
      <alignment horizontal="center" vertical="top" wrapText="1"/>
    </xf>
    <xf numFmtId="0" fontId="15" fillId="0" borderId="7" xfId="0" applyFont="1" applyBorder="1" applyAlignment="1">
      <alignment horizontal="center"/>
    </xf>
    <xf numFmtId="0" fontId="0" fillId="0" borderId="0" xfId="0" applyAlignment="1">
      <alignment horizontal="center"/>
    </xf>
    <xf numFmtId="0" fontId="15" fillId="0" borderId="0" xfId="0" applyFont="1" applyFill="1" applyBorder="1" applyAlignment="1">
      <alignment horizontal="center"/>
    </xf>
    <xf numFmtId="0" fontId="49" fillId="0" borderId="0" xfId="0" applyFont="1" applyAlignment="1">
      <alignment horizontal="center" vertical="top" wrapText="1"/>
    </xf>
    <xf numFmtId="0" fontId="0" fillId="0" borderId="0" xfId="0"/>
    <xf numFmtId="0" fontId="63" fillId="51" borderId="25" xfId="0" applyFont="1" applyFill="1" applyBorder="1" applyAlignment="1">
      <alignment horizontal="center"/>
    </xf>
    <xf numFmtId="0" fontId="0" fillId="0" borderId="0" xfId="0" applyBorder="1" applyAlignment="1">
      <alignment horizontal="center"/>
    </xf>
    <xf numFmtId="0" fontId="49" fillId="0" borderId="1" xfId="0" applyFont="1" applyBorder="1" applyAlignment="1">
      <alignment horizontal="left" vertical="top" wrapText="1"/>
    </xf>
    <xf numFmtId="0" fontId="67" fillId="0" borderId="1" xfId="0" applyFont="1" applyBorder="1" applyAlignment="1">
      <alignment horizontal="left"/>
    </xf>
    <xf numFmtId="168" fontId="15" fillId="0" borderId="5" xfId="0" applyNumberFormat="1" applyFont="1" applyBorder="1"/>
    <xf numFmtId="0" fontId="15" fillId="0" borderId="0" xfId="0" applyFont="1" applyAlignment="1">
      <alignment horizontal="center"/>
    </xf>
    <xf numFmtId="0" fontId="67" fillId="0" borderId="0" xfId="0" applyFont="1"/>
    <xf numFmtId="171" fontId="55" fillId="0" borderId="0" xfId="0" applyNumberFormat="1" applyFont="1"/>
    <xf numFmtId="0" fontId="3" fillId="0" borderId="0" xfId="0" applyFont="1"/>
    <xf numFmtId="0" fontId="46" fillId="0" borderId="0" xfId="0" applyFont="1" applyAlignment="1">
      <alignment horizontal="left"/>
    </xf>
    <xf numFmtId="0" fontId="0" fillId="0" borderId="5" xfId="0" applyBorder="1" applyAlignment="1">
      <alignment horizontal="center"/>
    </xf>
    <xf numFmtId="0" fontId="3" fillId="44" borderId="0" xfId="0" applyFont="1" applyFill="1" applyAlignment="1">
      <alignment horizontal="center"/>
    </xf>
    <xf numFmtId="0" fontId="20" fillId="0" borderId="0" xfId="7" applyFont="1"/>
    <xf numFmtId="3" fontId="15" fillId="0" borderId="0" xfId="0" applyNumberFormat="1" applyFont="1" applyFill="1" applyBorder="1" applyAlignment="1">
      <alignment horizontal="center"/>
    </xf>
    <xf numFmtId="3" fontId="15" fillId="0" borderId="1" xfId="0" applyNumberFormat="1" applyFont="1" applyBorder="1" applyAlignment="1">
      <alignment horizontal="center"/>
    </xf>
    <xf numFmtId="3" fontId="15" fillId="0" borderId="0" xfId="0" applyNumberFormat="1" applyFont="1" applyBorder="1" applyAlignment="1">
      <alignment horizontal="center"/>
    </xf>
    <xf numFmtId="3" fontId="15" fillId="52" borderId="7" xfId="0" applyNumberFormat="1" applyFont="1" applyFill="1" applyBorder="1" applyAlignment="1">
      <alignment horizontal="center"/>
    </xf>
    <xf numFmtId="167" fontId="15" fillId="0" borderId="5" xfId="2" applyNumberFormat="1" applyFont="1" applyBorder="1" applyAlignment="1">
      <alignment horizontal="center"/>
    </xf>
    <xf numFmtId="167" fontId="15" fillId="52" borderId="6" xfId="2" applyNumberFormat="1" applyFont="1" applyFill="1" applyBorder="1" applyAlignment="1">
      <alignment horizontal="center"/>
    </xf>
    <xf numFmtId="167" fontId="15" fillId="52" borderId="5" xfId="2" applyNumberFormat="1" applyFont="1" applyFill="1" applyBorder="1" applyAlignment="1">
      <alignment horizontal="center"/>
    </xf>
    <xf numFmtId="167" fontId="15" fillId="52" borderId="21" xfId="2" applyNumberFormat="1" applyFont="1" applyFill="1" applyBorder="1" applyAlignment="1">
      <alignment horizontal="center"/>
    </xf>
    <xf numFmtId="167" fontId="15" fillId="0" borderId="0" xfId="2" applyNumberFormat="1" applyFont="1" applyFill="1" applyBorder="1" applyAlignment="1">
      <alignment horizontal="left"/>
    </xf>
    <xf numFmtId="167" fontId="15" fillId="0" borderId="0" xfId="2" applyNumberFormat="1" applyFont="1" applyFill="1" applyBorder="1" applyAlignment="1">
      <alignment horizontal="center"/>
    </xf>
    <xf numFmtId="0" fontId="49" fillId="0" borderId="0" xfId="0" applyFont="1" applyFill="1" applyBorder="1" applyAlignment="1"/>
    <xf numFmtId="14" fontId="15" fillId="0" borderId="1" xfId="0" applyNumberFormat="1" applyFont="1" applyBorder="1"/>
    <xf numFmtId="0" fontId="49" fillId="3" borderId="30" xfId="0" applyFont="1" applyFill="1" applyBorder="1" applyAlignment="1">
      <alignment horizontal="center"/>
    </xf>
    <xf numFmtId="0" fontId="49" fillId="3" borderId="31" xfId="0" applyFont="1" applyFill="1" applyBorder="1"/>
    <xf numFmtId="0" fontId="49" fillId="3" borderId="32" xfId="0" applyFont="1" applyFill="1" applyBorder="1" applyAlignment="1">
      <alignment horizontal="center" wrapText="1"/>
    </xf>
    <xf numFmtId="0" fontId="15" fillId="0" borderId="0" xfId="0" applyFont="1" applyAlignment="1">
      <alignment horizontal="left"/>
    </xf>
    <xf numFmtId="0" fontId="15" fillId="0" borderId="0" xfId="0" applyFont="1" applyAlignment="1"/>
    <xf numFmtId="0" fontId="15" fillId="44" borderId="5" xfId="0" applyFont="1" applyFill="1" applyBorder="1" applyAlignment="1">
      <alignment horizontal="center" wrapText="1"/>
    </xf>
    <xf numFmtId="0" fontId="15" fillId="44" borderId="21" xfId="0" applyFont="1" applyFill="1" applyBorder="1" applyAlignment="1">
      <alignment horizontal="center" wrapText="1"/>
    </xf>
    <xf numFmtId="0" fontId="15" fillId="0" borderId="0" xfId="0" applyFont="1" applyAlignment="1">
      <alignment horizontal="center" wrapText="1"/>
    </xf>
    <xf numFmtId="0" fontId="15" fillId="41" borderId="20" xfId="0" applyFont="1" applyFill="1" applyBorder="1" applyAlignment="1">
      <alignment horizontal="center" wrapText="1"/>
    </xf>
    <xf numFmtId="2" fontId="15" fillId="0" borderId="0" xfId="0" applyNumberFormat="1" applyFont="1" applyAlignment="1">
      <alignment horizontal="center"/>
    </xf>
    <xf numFmtId="0" fontId="15" fillId="0" borderId="0" xfId="0" applyNumberFormat="1" applyFont="1" applyAlignment="1">
      <alignment horizontal="center"/>
    </xf>
    <xf numFmtId="14" fontId="15" fillId="0" borderId="0" xfId="0" applyNumberFormat="1" applyFont="1" applyAlignment="1">
      <alignment horizontal="center"/>
    </xf>
    <xf numFmtId="14" fontId="15" fillId="41" borderId="29" xfId="0" applyNumberFormat="1" applyFont="1" applyFill="1" applyBorder="1" applyAlignment="1">
      <alignment horizontal="right"/>
    </xf>
    <xf numFmtId="14" fontId="15" fillId="41" borderId="24" xfId="0" applyNumberFormat="1" applyFont="1" applyFill="1" applyBorder="1" applyAlignment="1">
      <alignment horizontal="right"/>
    </xf>
    <xf numFmtId="14" fontId="15" fillId="41" borderId="23" xfId="0" applyNumberFormat="1" applyFont="1" applyFill="1" applyBorder="1" applyAlignment="1">
      <alignment horizontal="right"/>
    </xf>
    <xf numFmtId="0" fontId="15" fillId="0" borderId="27" xfId="0" applyFont="1" applyBorder="1" applyAlignment="1">
      <alignment horizontal="center" wrapText="1"/>
    </xf>
    <xf numFmtId="3" fontId="15" fillId="0" borderId="27" xfId="0" applyNumberFormat="1" applyFont="1" applyBorder="1" applyAlignment="1">
      <alignment horizontal="center" wrapText="1"/>
    </xf>
    <xf numFmtId="1" fontId="15" fillId="0" borderId="0" xfId="0" applyNumberFormat="1" applyFont="1" applyBorder="1" applyAlignment="1">
      <alignment horizontal="center"/>
    </xf>
    <xf numFmtId="3" fontId="15" fillId="44" borderId="18" xfId="0" applyNumberFormat="1" applyFont="1" applyFill="1" applyBorder="1" applyAlignment="1">
      <alignment horizontal="center" wrapText="1"/>
    </xf>
    <xf numFmtId="165" fontId="15" fillId="0" borderId="27" xfId="0" applyNumberFormat="1" applyFont="1" applyBorder="1" applyAlignment="1">
      <alignment horizontal="center" wrapText="1"/>
    </xf>
    <xf numFmtId="0" fontId="68" fillId="0" borderId="0" xfId="0" applyFont="1"/>
    <xf numFmtId="0" fontId="68" fillId="0" borderId="0" xfId="0" applyFont="1" applyBorder="1"/>
    <xf numFmtId="0" fontId="0" fillId="0" borderId="0" xfId="0" applyFont="1"/>
    <xf numFmtId="0" fontId="0" fillId="0" borderId="0" xfId="0" applyFont="1" applyBorder="1"/>
    <xf numFmtId="0" fontId="50" fillId="0" borderId="1" xfId="0" applyFont="1" applyBorder="1" applyAlignment="1">
      <alignment wrapText="1"/>
    </xf>
    <xf numFmtId="3" fontId="50" fillId="0" borderId="0" xfId="0" applyNumberFormat="1" applyFont="1" applyBorder="1" applyAlignment="1">
      <alignment horizontal="center" wrapText="1"/>
    </xf>
    <xf numFmtId="1" fontId="50" fillId="0" borderId="5" xfId="0" applyNumberFormat="1" applyFont="1" applyBorder="1" applyAlignment="1">
      <alignment horizontal="center"/>
    </xf>
    <xf numFmtId="0" fontId="68" fillId="0" borderId="31" xfId="0" applyFont="1" applyBorder="1"/>
    <xf numFmtId="2" fontId="15" fillId="0" borderId="27" xfId="0" applyNumberFormat="1" applyFont="1" applyBorder="1" applyAlignment="1">
      <alignment horizontal="center"/>
    </xf>
    <xf numFmtId="2" fontId="15" fillId="0" borderId="28" xfId="0" applyNumberFormat="1" applyFont="1" applyBorder="1" applyAlignment="1">
      <alignment horizontal="center"/>
    </xf>
    <xf numFmtId="2" fontId="15" fillId="0" borderId="1" xfId="0" applyNumberFormat="1" applyFont="1" applyBorder="1" applyAlignment="1">
      <alignment horizontal="center"/>
    </xf>
    <xf numFmtId="2" fontId="15" fillId="0" borderId="0" xfId="0" applyNumberFormat="1" applyFont="1" applyBorder="1" applyAlignment="1">
      <alignment horizontal="center"/>
    </xf>
    <xf numFmtId="2" fontId="15" fillId="0" borderId="7" xfId="0" applyNumberFormat="1" applyFont="1" applyBorder="1" applyAlignment="1">
      <alignment horizontal="center"/>
    </xf>
    <xf numFmtId="2" fontId="15" fillId="0" borderId="6" xfId="0" applyNumberFormat="1" applyFont="1" applyBorder="1" applyAlignment="1">
      <alignment horizontal="center"/>
    </xf>
    <xf numFmtId="2" fontId="15" fillId="0" borderId="5" xfId="0" applyNumberFormat="1" applyFont="1" applyBorder="1" applyAlignment="1">
      <alignment horizontal="center"/>
    </xf>
    <xf numFmtId="2" fontId="15" fillId="0" borderId="21" xfId="0" applyNumberFormat="1" applyFont="1" applyBorder="1" applyAlignment="1">
      <alignment horizontal="center"/>
    </xf>
    <xf numFmtId="0" fontId="15" fillId="41" borderId="32" xfId="0" applyFont="1" applyFill="1" applyBorder="1" applyAlignment="1">
      <alignment horizontal="center" wrapText="1"/>
    </xf>
    <xf numFmtId="0" fontId="0" fillId="0" borderId="0" xfId="0" applyBorder="1" applyAlignment="1">
      <alignment horizontal="left"/>
    </xf>
    <xf numFmtId="0" fontId="3" fillId="0" borderId="0" xfId="0" applyFont="1" applyBorder="1"/>
    <xf numFmtId="0" fontId="3" fillId="0" borderId="0" xfId="0" applyFont="1" applyBorder="1" applyAlignment="1">
      <alignment horizontal="center"/>
    </xf>
    <xf numFmtId="166" fontId="0" fillId="0" borderId="0" xfId="0" applyNumberFormat="1" applyBorder="1" applyAlignment="1">
      <alignment horizontal="right"/>
    </xf>
    <xf numFmtId="0" fontId="0" fillId="0" borderId="23" xfId="0" applyBorder="1" applyAlignment="1">
      <alignment horizontal="left"/>
    </xf>
    <xf numFmtId="0" fontId="0" fillId="41" borderId="6" xfId="0" applyFill="1" applyBorder="1" applyAlignment="1">
      <alignment horizontal="center"/>
    </xf>
    <xf numFmtId="0" fontId="0" fillId="41" borderId="5" xfId="0" applyFill="1" applyBorder="1" applyAlignment="1">
      <alignment horizontal="center"/>
    </xf>
    <xf numFmtId="0" fontId="20" fillId="0" borderId="0" xfId="7" applyBorder="1"/>
    <xf numFmtId="0" fontId="60" fillId="0" borderId="1" xfId="0" applyFont="1" applyBorder="1" applyAlignment="1">
      <alignment horizontal="left"/>
    </xf>
    <xf numFmtId="3" fontId="21" fillId="0" borderId="0" xfId="11" applyNumberFormat="1" applyFont="1"/>
    <xf numFmtId="171" fontId="55" fillId="0" borderId="0" xfId="0" applyNumberFormat="1" applyFont="1" applyAlignment="1">
      <alignment horizontal="center"/>
    </xf>
    <xf numFmtId="171" fontId="55" fillId="0" borderId="7" xfId="0" applyNumberFormat="1" applyFont="1" applyBorder="1" applyAlignment="1">
      <alignment horizontal="center"/>
    </xf>
    <xf numFmtId="0" fontId="55" fillId="0" borderId="0" xfId="0" applyFont="1" applyAlignment="1">
      <alignment horizontal="center"/>
    </xf>
    <xf numFmtId="171" fontId="55" fillId="0" borderId="21" xfId="0" applyNumberFormat="1" applyFont="1" applyBorder="1" applyAlignment="1">
      <alignment horizontal="center"/>
    </xf>
    <xf numFmtId="0" fontId="15" fillId="0" borderId="0" xfId="0" applyFont="1" applyAlignment="1">
      <alignment horizontal="left" indent="1"/>
    </xf>
    <xf numFmtId="1" fontId="21" fillId="52" borderId="7" xfId="37" applyNumberFormat="1" applyFont="1" applyFill="1" applyBorder="1" applyAlignment="1">
      <alignment horizontal="center"/>
    </xf>
    <xf numFmtId="167" fontId="15" fillId="0" borderId="0" xfId="2" applyNumberFormat="1" applyFont="1" applyAlignment="1">
      <alignment horizontal="center"/>
    </xf>
    <xf numFmtId="164" fontId="15" fillId="52" borderId="0" xfId="0" quotePrefix="1" applyNumberFormat="1" applyFont="1" applyFill="1" applyBorder="1" applyAlignment="1">
      <alignment horizontal="right" vertical="top" wrapText="1"/>
    </xf>
    <xf numFmtId="164" fontId="15" fillId="52" borderId="0" xfId="0" applyNumberFormat="1" applyFont="1" applyFill="1" applyBorder="1" applyAlignment="1">
      <alignment horizontal="right" vertical="top" wrapText="1"/>
    </xf>
    <xf numFmtId="164" fontId="15" fillId="44" borderId="0" xfId="0" applyNumberFormat="1" applyFont="1" applyFill="1" applyBorder="1" applyAlignment="1">
      <alignment horizontal="center" vertical="top" wrapText="1"/>
    </xf>
    <xf numFmtId="164" fontId="15" fillId="44" borderId="0" xfId="0" applyNumberFormat="1" applyFont="1" applyFill="1" applyBorder="1" applyAlignment="1">
      <alignment horizontal="right" vertical="top" wrapText="1"/>
    </xf>
    <xf numFmtId="9" fontId="15" fillId="44" borderId="0" xfId="2" applyFont="1" applyFill="1" applyBorder="1" applyAlignment="1">
      <alignment horizontal="right" vertical="top" wrapText="1"/>
    </xf>
    <xf numFmtId="168" fontId="15" fillId="44" borderId="0" xfId="0" applyNumberFormat="1" applyFont="1" applyFill="1" applyBorder="1" applyAlignment="1">
      <alignment horizontal="right" vertical="top" wrapText="1"/>
    </xf>
    <xf numFmtId="164" fontId="15" fillId="52" borderId="0" xfId="0" applyNumberFormat="1" applyFont="1" applyFill="1" applyBorder="1" applyAlignment="1">
      <alignment horizontal="center" vertical="top" wrapText="1"/>
    </xf>
    <xf numFmtId="0" fontId="50" fillId="0" borderId="0" xfId="0" applyFont="1"/>
    <xf numFmtId="164" fontId="50" fillId="52" borderId="0" xfId="0" applyNumberFormat="1" applyFont="1" applyFill="1" applyBorder="1" applyAlignment="1">
      <alignment horizontal="center" vertical="top" wrapText="1"/>
    </xf>
    <xf numFmtId="1" fontId="50" fillId="52" borderId="0" xfId="0" quotePrefix="1" applyNumberFormat="1" applyFont="1" applyFill="1" applyBorder="1" applyAlignment="1">
      <alignment horizontal="center" vertical="top" wrapText="1"/>
    </xf>
    <xf numFmtId="167" fontId="50" fillId="0" borderId="0" xfId="2" applyNumberFormat="1" applyFont="1"/>
    <xf numFmtId="0" fontId="50" fillId="0" borderId="6" xfId="0" applyFont="1" applyBorder="1" applyAlignment="1">
      <alignment horizontal="left" vertical="top" wrapText="1"/>
    </xf>
    <xf numFmtId="0" fontId="15" fillId="44" borderId="37" xfId="0" applyFont="1" applyFill="1" applyBorder="1" applyAlignment="1">
      <alignment horizontal="center"/>
    </xf>
    <xf numFmtId="168" fontId="15" fillId="0" borderId="0" xfId="0" applyNumberFormat="1" applyFont="1" applyAlignment="1">
      <alignment horizontal="center"/>
    </xf>
    <xf numFmtId="0" fontId="21" fillId="0" borderId="0" xfId="0" applyFont="1" applyAlignment="1">
      <alignment horizontal="center"/>
    </xf>
    <xf numFmtId="0" fontId="22" fillId="49" borderId="33" xfId="0" applyFont="1" applyFill="1" applyBorder="1"/>
    <xf numFmtId="168" fontId="15" fillId="0" borderId="21" xfId="0" applyNumberFormat="1" applyFont="1" applyBorder="1"/>
    <xf numFmtId="164" fontId="50" fillId="44" borderId="1" xfId="0" applyNumberFormat="1" applyFont="1" applyFill="1" applyBorder="1" applyAlignment="1">
      <alignment horizontal="center"/>
    </xf>
    <xf numFmtId="164" fontId="50" fillId="44" borderId="0" xfId="0" applyNumberFormat="1" applyFont="1" applyFill="1" applyBorder="1" applyAlignment="1">
      <alignment horizontal="center"/>
    </xf>
    <xf numFmtId="164" fontId="50" fillId="44" borderId="7" xfId="0" applyNumberFormat="1" applyFont="1" applyFill="1" applyBorder="1" applyAlignment="1">
      <alignment horizontal="center"/>
    </xf>
    <xf numFmtId="168" fontId="15" fillId="44" borderId="6" xfId="0" applyNumberFormat="1" applyFont="1" applyFill="1" applyBorder="1" applyAlignment="1">
      <alignment horizontal="center"/>
    </xf>
    <xf numFmtId="168" fontId="15" fillId="44" borderId="5" xfId="0" applyNumberFormat="1" applyFont="1" applyFill="1" applyBorder="1" applyAlignment="1">
      <alignment horizontal="center"/>
    </xf>
    <xf numFmtId="0" fontId="49" fillId="0" borderId="34" xfId="0" applyFont="1" applyBorder="1"/>
    <xf numFmtId="0" fontId="49" fillId="0" borderId="35" xfId="0" applyFont="1" applyBorder="1"/>
    <xf numFmtId="3" fontId="65" fillId="0" borderId="0" xfId="0" applyNumberFormat="1" applyFont="1" applyBorder="1"/>
    <xf numFmtId="3" fontId="65" fillId="0" borderId="7" xfId="0" applyNumberFormat="1" applyFont="1" applyBorder="1"/>
    <xf numFmtId="0" fontId="49" fillId="0" borderId="36" xfId="0" applyFont="1" applyBorder="1"/>
    <xf numFmtId="0" fontId="15" fillId="0" borderId="24" xfId="0" applyFont="1" applyBorder="1" applyAlignment="1">
      <alignment horizontal="left"/>
    </xf>
    <xf numFmtId="0" fontId="15" fillId="0" borderId="23" xfId="0" applyFont="1" applyBorder="1" applyAlignment="1">
      <alignment horizontal="left" indent="1"/>
    </xf>
    <xf numFmtId="0" fontId="15" fillId="0" borderId="23" xfId="0" applyFont="1" applyBorder="1" applyAlignment="1">
      <alignment horizontal="left" indent="8"/>
    </xf>
    <xf numFmtId="0" fontId="49" fillId="3" borderId="33" xfId="0" applyFont="1" applyFill="1" applyBorder="1"/>
    <xf numFmtId="0" fontId="49" fillId="3" borderId="34" xfId="0" applyFont="1" applyFill="1" applyBorder="1"/>
    <xf numFmtId="0" fontId="49" fillId="3" borderId="35" xfId="0" applyFont="1" applyFill="1" applyBorder="1"/>
    <xf numFmtId="0" fontId="49" fillId="3" borderId="34" xfId="0" applyFont="1" applyFill="1" applyBorder="1" applyAlignment="1">
      <alignment horizontal="center"/>
    </xf>
    <xf numFmtId="0" fontId="49" fillId="3" borderId="35" xfId="0" applyFont="1" applyFill="1" applyBorder="1" applyAlignment="1">
      <alignment horizontal="center"/>
    </xf>
    <xf numFmtId="0" fontId="15" fillId="0" borderId="1" xfId="0" applyFont="1" applyFill="1" applyBorder="1" applyAlignment="1">
      <alignment horizontal="left" vertical="top"/>
    </xf>
    <xf numFmtId="0" fontId="15" fillId="0" borderId="0" xfId="0" applyFont="1" applyFill="1" applyBorder="1" applyAlignment="1">
      <alignment horizontal="left" vertical="top"/>
    </xf>
    <xf numFmtId="0" fontId="15" fillId="0" borderId="1" xfId="0" applyFont="1" applyFill="1" applyBorder="1" applyAlignment="1">
      <alignment horizontal="left" vertical="top" wrapText="1"/>
    </xf>
    <xf numFmtId="0" fontId="15" fillId="0" borderId="0" xfId="0" applyFont="1" applyFill="1" applyBorder="1" applyAlignment="1">
      <alignment horizontal="left" vertical="top" wrapText="1"/>
    </xf>
    <xf numFmtId="0" fontId="15" fillId="0" borderId="6" xfId="0" applyFont="1" applyFill="1" applyBorder="1" applyAlignment="1">
      <alignment horizontal="center"/>
    </xf>
    <xf numFmtId="0" fontId="15" fillId="0" borderId="5" xfId="0" applyFont="1" applyFill="1" applyBorder="1" applyAlignment="1">
      <alignment horizontal="center"/>
    </xf>
    <xf numFmtId="1" fontId="15" fillId="44" borderId="1" xfId="0" applyNumberFormat="1" applyFont="1" applyFill="1" applyBorder="1" applyAlignment="1">
      <alignment horizontal="center"/>
    </xf>
    <xf numFmtId="1" fontId="15" fillId="44" borderId="0" xfId="0" applyNumberFormat="1" applyFont="1" applyFill="1" applyBorder="1" applyAlignment="1">
      <alignment horizontal="center"/>
    </xf>
    <xf numFmtId="1" fontId="15" fillId="44" borderId="7" xfId="0" applyNumberFormat="1" applyFont="1" applyFill="1" applyBorder="1" applyAlignment="1">
      <alignment horizontal="center"/>
    </xf>
    <xf numFmtId="0" fontId="15" fillId="0" borderId="18" xfId="0" applyFont="1" applyFill="1" applyBorder="1" applyAlignment="1">
      <alignment horizontal="left"/>
    </xf>
    <xf numFmtId="0" fontId="15" fillId="0" borderId="17" xfId="0" applyFont="1" applyFill="1" applyBorder="1" applyAlignment="1">
      <alignment horizontal="left"/>
    </xf>
    <xf numFmtId="0" fontId="21" fillId="0" borderId="1" xfId="509" quotePrefix="1" applyFont="1" applyFill="1" applyBorder="1" applyAlignment="1">
      <alignment horizontal="left" vertical="top" wrapText="1"/>
    </xf>
    <xf numFmtId="0" fontId="21" fillId="0" borderId="0" xfId="509" quotePrefix="1" applyFont="1" applyFill="1" applyBorder="1" applyAlignment="1">
      <alignment horizontal="left" vertical="top" wrapText="1"/>
    </xf>
    <xf numFmtId="0" fontId="15" fillId="0" borderId="0" xfId="0" applyFont="1" applyFill="1" applyBorder="1" applyAlignment="1">
      <alignment horizontal="left" wrapText="1"/>
    </xf>
    <xf numFmtId="166" fontId="15" fillId="0" borderId="0" xfId="0" quotePrefix="1" applyNumberFormat="1" applyFont="1" applyFill="1" applyBorder="1" applyAlignment="1">
      <alignment horizontal="center"/>
    </xf>
    <xf numFmtId="166" fontId="15" fillId="0" borderId="1" xfId="0" quotePrefix="1" applyNumberFormat="1" applyFont="1" applyFill="1" applyBorder="1" applyAlignment="1">
      <alignment horizontal="center"/>
    </xf>
    <xf numFmtId="0" fontId="21" fillId="0" borderId="1" xfId="509" quotePrefix="1" applyFont="1" applyFill="1" applyBorder="1" applyAlignment="1">
      <alignment horizontal="center" wrapText="1"/>
    </xf>
    <xf numFmtId="0" fontId="21" fillId="0" borderId="0" xfId="509" quotePrefix="1" applyFont="1" applyFill="1" applyBorder="1" applyAlignment="1">
      <alignment horizontal="center" wrapText="1"/>
    </xf>
    <xf numFmtId="0" fontId="22" fillId="0" borderId="0" xfId="11" applyFont="1" applyAlignment="1">
      <alignment horizontal="left" indent="1"/>
    </xf>
    <xf numFmtId="0" fontId="3" fillId="0" borderId="0" xfId="0" applyFont="1" applyAlignment="1">
      <alignment vertical="top" wrapText="1"/>
    </xf>
    <xf numFmtId="0" fontId="0" fillId="44" borderId="19" xfId="0" applyFill="1" applyBorder="1"/>
    <xf numFmtId="0" fontId="21" fillId="0" borderId="0" xfId="11" applyFont="1"/>
    <xf numFmtId="0" fontId="15" fillId="0" borderId="24" xfId="0" applyFont="1" applyBorder="1" applyAlignment="1">
      <alignment horizontal="left" indent="1"/>
    </xf>
    <xf numFmtId="0" fontId="49" fillId="0" borderId="20" xfId="0" applyFont="1" applyBorder="1"/>
    <xf numFmtId="0" fontId="49" fillId="0" borderId="20" xfId="0" applyFont="1" applyBorder="1" applyAlignment="1">
      <alignment horizontal="left" indent="1"/>
    </xf>
    <xf numFmtId="0" fontId="49" fillId="0" borderId="31" xfId="0" applyFont="1" applyBorder="1" applyAlignment="1">
      <alignment horizontal="center"/>
    </xf>
    <xf numFmtId="0" fontId="49" fillId="0" borderId="32" xfId="0" applyFont="1" applyBorder="1" applyAlignment="1">
      <alignment horizontal="center"/>
    </xf>
    <xf numFmtId="0" fontId="67" fillId="0" borderId="20" xfId="0" applyFont="1" applyBorder="1" applyAlignment="1">
      <alignment wrapText="1"/>
    </xf>
    <xf numFmtId="0" fontId="49" fillId="0" borderId="30" xfId="0" applyFont="1" applyBorder="1" applyAlignment="1">
      <alignment horizontal="center"/>
    </xf>
    <xf numFmtId="171" fontId="67" fillId="0" borderId="31" xfId="0" applyNumberFormat="1" applyFont="1" applyBorder="1" applyAlignment="1">
      <alignment horizontal="center"/>
    </xf>
    <xf numFmtId="171" fontId="67" fillId="52" borderId="31" xfId="0" applyNumberFormat="1" applyFont="1" applyFill="1" applyBorder="1" applyAlignment="1">
      <alignment horizontal="center"/>
    </xf>
    <xf numFmtId="171" fontId="67" fillId="52" borderId="32" xfId="0" applyNumberFormat="1" applyFont="1" applyFill="1" applyBorder="1" applyAlignment="1">
      <alignment horizontal="center"/>
    </xf>
    <xf numFmtId="0" fontId="55" fillId="0" borderId="24" xfId="0" applyFont="1" applyBorder="1" applyAlignment="1">
      <alignment horizontal="left" indent="1"/>
    </xf>
    <xf numFmtId="0" fontId="55" fillId="0" borderId="23" xfId="0" applyFont="1" applyBorder="1" applyAlignment="1">
      <alignment horizontal="left" indent="1"/>
    </xf>
    <xf numFmtId="167" fontId="15" fillId="0" borderId="0" xfId="2" applyNumberFormat="1" applyFont="1" applyBorder="1" applyAlignment="1">
      <alignment horizontal="center"/>
    </xf>
    <xf numFmtId="1" fontId="21" fillId="52" borderId="0" xfId="37" applyNumberFormat="1" applyFont="1" applyFill="1" applyBorder="1" applyAlignment="1">
      <alignment horizontal="center"/>
    </xf>
    <xf numFmtId="1" fontId="21" fillId="0" borderId="7" xfId="37" applyNumberFormat="1" applyFont="1" applyBorder="1" applyAlignment="1">
      <alignment horizontal="center"/>
    </xf>
    <xf numFmtId="171" fontId="67" fillId="44" borderId="31" xfId="0" applyNumberFormat="1" applyFont="1" applyFill="1" applyBorder="1" applyAlignment="1">
      <alignment horizontal="center"/>
    </xf>
    <xf numFmtId="171" fontId="67" fillId="44" borderId="30" xfId="0" applyNumberFormat="1" applyFont="1" applyFill="1" applyBorder="1" applyAlignment="1">
      <alignment horizontal="center"/>
    </xf>
    <xf numFmtId="171" fontId="67" fillId="52" borderId="30" xfId="0" applyNumberFormat="1" applyFont="1" applyFill="1" applyBorder="1" applyAlignment="1">
      <alignment horizontal="center"/>
    </xf>
    <xf numFmtId="167" fontId="15" fillId="52" borderId="1" xfId="2" applyNumberFormat="1" applyFont="1" applyFill="1" applyBorder="1" applyAlignment="1">
      <alignment horizontal="center"/>
    </xf>
    <xf numFmtId="167" fontId="15" fillId="52" borderId="0" xfId="2" applyNumberFormat="1" applyFont="1" applyFill="1" applyBorder="1" applyAlignment="1">
      <alignment horizontal="center"/>
    </xf>
    <xf numFmtId="0" fontId="46" fillId="0" borderId="0" xfId="0" applyFont="1" applyBorder="1" applyAlignment="1">
      <alignment horizontal="left"/>
    </xf>
    <xf numFmtId="0" fontId="0" fillId="0" borderId="7" xfId="0" applyFill="1" applyBorder="1" applyAlignment="1">
      <alignment horizontal="left" wrapText="1" indent="2"/>
    </xf>
    <xf numFmtId="0" fontId="0" fillId="0" borderId="18" xfId="0" applyBorder="1" applyAlignment="1">
      <alignment horizontal="left" wrapText="1" indent="2"/>
    </xf>
    <xf numFmtId="0" fontId="0" fillId="0" borderId="1" xfId="0" applyFill="1" applyBorder="1" applyAlignment="1">
      <alignment horizontal="left" wrapText="1" indent="2"/>
    </xf>
    <xf numFmtId="0" fontId="0" fillId="44" borderId="1" xfId="0" applyFill="1" applyBorder="1" applyAlignment="1">
      <alignment horizontal="center"/>
    </xf>
    <xf numFmtId="0" fontId="0" fillId="44" borderId="0" xfId="0" applyFill="1" applyBorder="1" applyAlignment="1">
      <alignment horizontal="center"/>
    </xf>
    <xf numFmtId="166" fontId="0" fillId="44" borderId="0" xfId="0" applyNumberFormat="1" applyFill="1" applyBorder="1" applyAlignment="1">
      <alignment horizontal="center"/>
    </xf>
    <xf numFmtId="0" fontId="0" fillId="0" borderId="1" xfId="0" applyBorder="1" applyAlignment="1">
      <alignment horizontal="left" indent="2"/>
    </xf>
    <xf numFmtId="0" fontId="0" fillId="0" borderId="0" xfId="0" applyFill="1" applyBorder="1" applyAlignment="1">
      <alignment horizontal="right"/>
    </xf>
    <xf numFmtId="0" fontId="0" fillId="0" borderId="0" xfId="0" applyBorder="1" applyAlignment="1">
      <alignment horizontal="right"/>
    </xf>
    <xf numFmtId="0" fontId="3" fillId="0" borderId="0" xfId="0" applyFont="1" applyFill="1" applyBorder="1"/>
    <xf numFmtId="0" fontId="0" fillId="0" borderId="7" xfId="0" applyBorder="1" applyAlignment="1">
      <alignment horizontal="left" indent="2"/>
    </xf>
    <xf numFmtId="0" fontId="0" fillId="0" borderId="7" xfId="0" applyBorder="1" applyAlignment="1">
      <alignment horizontal="left"/>
    </xf>
    <xf numFmtId="0" fontId="0" fillId="0" borderId="0" xfId="0" applyBorder="1" applyAlignment="1">
      <alignment horizontal="left" indent="2"/>
    </xf>
    <xf numFmtId="166" fontId="0" fillId="44" borderId="1" xfId="0" applyNumberFormat="1" applyFill="1" applyBorder="1" applyAlignment="1">
      <alignment horizontal="center"/>
    </xf>
    <xf numFmtId="166" fontId="0" fillId="44" borderId="18" xfId="0" applyNumberFormat="1" applyFill="1" applyBorder="1" applyAlignment="1">
      <alignment horizontal="center"/>
    </xf>
    <xf numFmtId="0" fontId="0" fillId="44" borderId="7" xfId="0" applyFill="1" applyBorder="1" applyAlignment="1">
      <alignment horizontal="center"/>
    </xf>
    <xf numFmtId="166" fontId="0" fillId="0" borderId="0" xfId="0" applyNumberFormat="1" applyFill="1" applyBorder="1" applyAlignment="1">
      <alignment horizontal="center"/>
    </xf>
    <xf numFmtId="0" fontId="15" fillId="0" borderId="38" xfId="0" applyFont="1" applyBorder="1" applyAlignment="1"/>
    <xf numFmtId="3" fontId="15" fillId="52" borderId="19" xfId="0" applyNumberFormat="1" applyFont="1" applyFill="1" applyBorder="1" applyAlignment="1">
      <alignment horizontal="center"/>
    </xf>
    <xf numFmtId="0" fontId="0" fillId="0" borderId="0" xfId="0"/>
    <xf numFmtId="0" fontId="0" fillId="0" borderId="0" xfId="0" applyAlignment="1">
      <alignment wrapText="1"/>
    </xf>
    <xf numFmtId="0" fontId="15" fillId="0" borderId="0" xfId="0" applyFont="1" applyBorder="1"/>
    <xf numFmtId="0" fontId="15" fillId="0" borderId="1" xfId="0" applyFont="1" applyBorder="1"/>
    <xf numFmtId="166" fontId="15" fillId="44" borderId="1" xfId="0" applyNumberFormat="1" applyFont="1" applyFill="1" applyBorder="1" applyAlignment="1">
      <alignment horizontal="center"/>
    </xf>
    <xf numFmtId="166" fontId="15" fillId="44" borderId="0" xfId="0" applyNumberFormat="1" applyFont="1" applyFill="1" applyBorder="1" applyAlignment="1">
      <alignment horizontal="center"/>
    </xf>
    <xf numFmtId="166" fontId="15" fillId="0" borderId="0" xfId="0" applyNumberFormat="1" applyFont="1" applyBorder="1" applyAlignment="1">
      <alignment horizontal="center"/>
    </xf>
    <xf numFmtId="166" fontId="15" fillId="44" borderId="7" xfId="0" applyNumberFormat="1" applyFont="1" applyFill="1" applyBorder="1" applyAlignment="1">
      <alignment horizontal="center"/>
    </xf>
    <xf numFmtId="3" fontId="15" fillId="44" borderId="0" xfId="0" applyNumberFormat="1" applyFont="1" applyFill="1" applyBorder="1" applyAlignment="1">
      <alignment horizontal="center" wrapText="1"/>
    </xf>
    <xf numFmtId="0" fontId="0" fillId="0" borderId="0" xfId="0" applyBorder="1"/>
    <xf numFmtId="166" fontId="21" fillId="44" borderId="6" xfId="37" applyNumberFormat="1" applyFont="1" applyFill="1" applyBorder="1" applyAlignment="1">
      <alignment horizontal="center"/>
    </xf>
    <xf numFmtId="166" fontId="21" fillId="44" borderId="5" xfId="37" applyNumberFormat="1" applyFont="1" applyFill="1" applyBorder="1" applyAlignment="1">
      <alignment horizontal="center"/>
    </xf>
    <xf numFmtId="1" fontId="0" fillId="0" borderId="0" xfId="0" applyNumberFormat="1" applyAlignment="1">
      <alignment horizontal="center"/>
    </xf>
    <xf numFmtId="166" fontId="0" fillId="0" borderId="0" xfId="0" applyNumberFormat="1" applyBorder="1" applyAlignment="1">
      <alignment horizontal="center"/>
    </xf>
    <xf numFmtId="0" fontId="49" fillId="0" borderId="0" xfId="0" applyFont="1" applyFill="1" applyBorder="1" applyAlignment="1">
      <alignment horizontal="center"/>
    </xf>
    <xf numFmtId="2" fontId="46" fillId="0" borderId="0" xfId="511" applyNumberFormat="1" applyAlignment="1">
      <alignment horizontal="center"/>
    </xf>
    <xf numFmtId="3" fontId="15" fillId="44" borderId="1" xfId="0" applyNumberFormat="1" applyFont="1" applyFill="1" applyBorder="1" applyAlignment="1">
      <alignment horizontal="center"/>
    </xf>
    <xf numFmtId="3" fontId="15" fillId="44" borderId="0" xfId="0" applyNumberFormat="1" applyFont="1" applyFill="1" applyBorder="1" applyAlignment="1">
      <alignment horizontal="center"/>
    </xf>
    <xf numFmtId="3" fontId="15" fillId="44" borderId="7" xfId="0" applyNumberFormat="1" applyFont="1" applyFill="1" applyBorder="1" applyAlignment="1">
      <alignment horizontal="center"/>
    </xf>
    <xf numFmtId="3" fontId="15" fillId="44" borderId="1" xfId="0" quotePrefix="1" applyNumberFormat="1" applyFont="1" applyFill="1" applyBorder="1" applyAlignment="1">
      <alignment horizontal="center"/>
    </xf>
    <xf numFmtId="3" fontId="15" fillId="44" borderId="0" xfId="0" quotePrefix="1" applyNumberFormat="1" applyFont="1" applyFill="1" applyBorder="1" applyAlignment="1">
      <alignment horizontal="center"/>
    </xf>
    <xf numFmtId="0" fontId="0" fillId="0" borderId="0" xfId="0" applyFill="1" applyBorder="1"/>
    <xf numFmtId="166" fontId="15" fillId="52" borderId="1" xfId="0" applyNumberFormat="1" applyFont="1" applyFill="1" applyBorder="1" applyAlignment="1">
      <alignment horizontal="center" wrapText="1"/>
    </xf>
    <xf numFmtId="166" fontId="15" fillId="52" borderId="0" xfId="0" applyNumberFormat="1" applyFont="1" applyFill="1" applyBorder="1" applyAlignment="1">
      <alignment horizontal="center" wrapText="1"/>
    </xf>
    <xf numFmtId="166" fontId="15" fillId="52" borderId="7" xfId="0" applyNumberFormat="1" applyFont="1" applyFill="1" applyBorder="1" applyAlignment="1">
      <alignment horizontal="center" wrapText="1"/>
    </xf>
    <xf numFmtId="3" fontId="15" fillId="52" borderId="1" xfId="0" applyNumberFormat="1" applyFont="1" applyFill="1" applyBorder="1" applyAlignment="1">
      <alignment horizontal="center" wrapText="1"/>
    </xf>
    <xf numFmtId="3" fontId="15" fillId="52" borderId="0" xfId="0" applyNumberFormat="1" applyFont="1" applyFill="1" applyBorder="1" applyAlignment="1">
      <alignment horizontal="center" wrapText="1"/>
    </xf>
    <xf numFmtId="3" fontId="15" fillId="52" borderId="7" xfId="0" applyNumberFormat="1" applyFont="1" applyFill="1" applyBorder="1" applyAlignment="1">
      <alignment horizontal="center" wrapText="1"/>
    </xf>
    <xf numFmtId="3" fontId="15" fillId="52" borderId="5" xfId="0" applyNumberFormat="1" applyFont="1" applyFill="1" applyBorder="1" applyAlignment="1">
      <alignment horizontal="center"/>
    </xf>
    <xf numFmtId="3" fontId="15" fillId="52" borderId="21" xfId="0" applyNumberFormat="1" applyFont="1" applyFill="1" applyBorder="1" applyAlignment="1">
      <alignment horizontal="center"/>
    </xf>
    <xf numFmtId="0" fontId="0" fillId="0" borderId="0" xfId="0" applyBorder="1" applyAlignment="1">
      <alignment horizontal="center"/>
    </xf>
    <xf numFmtId="0" fontId="3" fillId="0" borderId="0" xfId="0" applyFont="1"/>
    <xf numFmtId="164" fontId="0" fillId="44" borderId="1" xfId="0" applyNumberFormat="1" applyFill="1" applyBorder="1" applyAlignment="1">
      <alignment horizontal="center"/>
    </xf>
    <xf numFmtId="164" fontId="0" fillId="44" borderId="0" xfId="0" applyNumberFormat="1" applyFill="1" applyBorder="1" applyAlignment="1">
      <alignment horizontal="center"/>
    </xf>
    <xf numFmtId="3" fontId="15" fillId="52" borderId="18" xfId="0" applyNumberFormat="1" applyFont="1" applyFill="1" applyBorder="1" applyAlignment="1">
      <alignment horizontal="center"/>
    </xf>
    <xf numFmtId="0" fontId="15" fillId="0" borderId="0" xfId="0" applyFont="1" applyAlignment="1">
      <alignment horizontal="left"/>
    </xf>
    <xf numFmtId="0" fontId="0" fillId="0" borderId="0" xfId="0" applyBorder="1" applyAlignment="1">
      <alignment horizontal="center"/>
    </xf>
    <xf numFmtId="0" fontId="0" fillId="0" borderId="19" xfId="0" applyBorder="1" applyAlignment="1">
      <alignment horizontal="left" wrapText="1" indent="2"/>
    </xf>
    <xf numFmtId="166" fontId="0" fillId="44" borderId="17" xfId="0" applyNumberFormat="1" applyFill="1" applyBorder="1" applyAlignment="1">
      <alignment horizontal="center"/>
    </xf>
    <xf numFmtId="0" fontId="0" fillId="0" borderId="6" xfId="0" applyBorder="1" applyAlignment="1">
      <alignment horizontal="left" indent="2"/>
    </xf>
    <xf numFmtId="0" fontId="0" fillId="0" borderId="21" xfId="0" applyBorder="1" applyAlignment="1">
      <alignment horizontal="left" indent="2"/>
    </xf>
    <xf numFmtId="164" fontId="0" fillId="44" borderId="6" xfId="0" applyNumberFormat="1" applyFill="1" applyBorder="1" applyAlignment="1">
      <alignment horizontal="center"/>
    </xf>
    <xf numFmtId="164" fontId="0" fillId="44" borderId="5" xfId="0" applyNumberFormat="1" applyFill="1" applyBorder="1" applyAlignment="1">
      <alignment horizontal="center"/>
    </xf>
    <xf numFmtId="0" fontId="0" fillId="44" borderId="21" xfId="0" applyFill="1" applyBorder="1" applyAlignment="1">
      <alignment horizontal="center"/>
    </xf>
    <xf numFmtId="164" fontId="15" fillId="3" borderId="1" xfId="0" applyNumberFormat="1" applyFont="1" applyFill="1" applyBorder="1" applyAlignment="1">
      <alignment horizontal="center"/>
    </xf>
    <xf numFmtId="164" fontId="15" fillId="3" borderId="0" xfId="0" applyNumberFormat="1" applyFont="1" applyFill="1" applyBorder="1" applyAlignment="1">
      <alignment horizontal="center"/>
    </xf>
    <xf numFmtId="164" fontId="15" fillId="55" borderId="0" xfId="0" applyNumberFormat="1" applyFont="1" applyFill="1" applyBorder="1" applyAlignment="1">
      <alignment horizontal="center"/>
    </xf>
    <xf numFmtId="0" fontId="63" fillId="0" borderId="0" xfId="0" applyFont="1" applyFill="1" applyBorder="1" applyAlignment="1">
      <alignment horizontal="center"/>
    </xf>
    <xf numFmtId="0" fontId="0" fillId="0" borderId="0" xfId="0" applyFill="1" applyBorder="1" applyAlignment="1">
      <alignment vertical="top" wrapText="1"/>
    </xf>
    <xf numFmtId="0" fontId="63" fillId="0" borderId="0" xfId="0" applyFont="1" applyFill="1" applyBorder="1" applyAlignment="1"/>
    <xf numFmtId="0" fontId="15" fillId="0" borderId="0" xfId="0" applyFont="1" applyAlignment="1">
      <alignment vertical="top" wrapText="1"/>
    </xf>
    <xf numFmtId="0" fontId="4" fillId="8" borderId="0" xfId="0" applyFont="1" applyFill="1" applyAlignment="1">
      <alignment horizontal="center" wrapText="1"/>
    </xf>
    <xf numFmtId="0" fontId="0" fillId="0" borderId="0" xfId="0" applyAlignment="1">
      <alignment wrapText="1"/>
    </xf>
    <xf numFmtId="0" fontId="0" fillId="0" borderId="0" xfId="0" applyAlignment="1">
      <alignment wrapText="1"/>
    </xf>
    <xf numFmtId="0" fontId="46" fillId="52" borderId="0" xfId="511" applyFill="1"/>
    <xf numFmtId="0" fontId="5" fillId="57" borderId="0" xfId="0" applyFont="1" applyFill="1" applyAlignment="1">
      <alignment vertical="top"/>
    </xf>
    <xf numFmtId="0" fontId="6" fillId="57" borderId="0" xfId="0" applyFont="1" applyFill="1"/>
    <xf numFmtId="0" fontId="4" fillId="57" borderId="0" xfId="0" applyFont="1" applyFill="1"/>
    <xf numFmtId="0" fontId="11" fillId="57" borderId="0" xfId="0" applyFont="1" applyFill="1"/>
    <xf numFmtId="0" fontId="4" fillId="57" borderId="0" xfId="0" applyFont="1" applyFill="1" applyAlignment="1">
      <alignment horizontal="right"/>
    </xf>
    <xf numFmtId="0" fontId="0" fillId="57" borderId="0" xfId="0" applyFill="1" applyAlignment="1">
      <alignment horizontal="center" wrapText="1"/>
    </xf>
    <xf numFmtId="0" fontId="5" fillId="0" borderId="0" xfId="0" applyFont="1" applyAlignment="1">
      <alignment vertical="top" wrapText="1"/>
    </xf>
    <xf numFmtId="1" fontId="5" fillId="0" borderId="0" xfId="0" applyNumberFormat="1" applyFont="1" applyAlignment="1">
      <alignment vertical="top" wrapText="1"/>
    </xf>
    <xf numFmtId="0" fontId="5" fillId="57" borderId="0" xfId="0" applyFont="1" applyFill="1" applyAlignment="1">
      <alignment vertical="top" wrapText="1"/>
    </xf>
    <xf numFmtId="0" fontId="5" fillId="53" borderId="0" xfId="0" applyFont="1" applyFill="1" applyAlignment="1">
      <alignment wrapText="1"/>
    </xf>
    <xf numFmtId="0" fontId="5" fillId="0" borderId="0" xfId="0" applyFont="1" applyFill="1" applyAlignment="1">
      <alignment vertical="top" wrapText="1"/>
    </xf>
    <xf numFmtId="0" fontId="4" fillId="0" borderId="0" xfId="0" applyFont="1" applyFill="1" applyAlignment="1">
      <alignment horizontal="right"/>
    </xf>
    <xf numFmtId="0" fontId="6" fillId="0" borderId="0" xfId="0" applyFont="1" applyFill="1"/>
    <xf numFmtId="0" fontId="4" fillId="0" borderId="0" xfId="0" applyFont="1" applyFill="1"/>
    <xf numFmtId="0" fontId="11" fillId="0" borderId="0" xfId="0" applyFont="1" applyFill="1"/>
    <xf numFmtId="0" fontId="0" fillId="0" borderId="0" xfId="0" applyAlignment="1">
      <alignment vertical="center"/>
    </xf>
    <xf numFmtId="0" fontId="50" fillId="0" borderId="1" xfId="0" applyFont="1" applyBorder="1" applyAlignment="1">
      <alignment horizontal="right" wrapText="1" indent="3"/>
    </xf>
    <xf numFmtId="173" fontId="15" fillId="0" borderId="0" xfId="0" applyNumberFormat="1" applyFont="1"/>
    <xf numFmtId="3" fontId="65" fillId="0" borderId="0" xfId="0" applyNumberFormat="1" applyFont="1"/>
    <xf numFmtId="14" fontId="15" fillId="44" borderId="6" xfId="0" applyNumberFormat="1" applyFont="1" applyFill="1" applyBorder="1"/>
    <xf numFmtId="0" fontId="15" fillId="44" borderId="5" xfId="0" applyFont="1" applyFill="1" applyBorder="1"/>
    <xf numFmtId="0" fontId="15" fillId="44" borderId="21" xfId="0" applyFont="1" applyFill="1" applyBorder="1"/>
    <xf numFmtId="0" fontId="43" fillId="0" borderId="0" xfId="315" applyFill="1"/>
    <xf numFmtId="0" fontId="72" fillId="0" borderId="0" xfId="315" applyFont="1" applyFill="1" applyAlignment="1">
      <alignment horizontal="left" vertical="center"/>
    </xf>
    <xf numFmtId="0" fontId="72" fillId="0" borderId="0" xfId="315" applyFont="1" applyFill="1"/>
    <xf numFmtId="0" fontId="76" fillId="0" borderId="0" xfId="315" applyFont="1" applyFill="1"/>
    <xf numFmtId="0" fontId="78" fillId="0" borderId="0" xfId="315" applyFont="1" applyFill="1" applyAlignment="1">
      <alignment horizontal="left" vertical="center"/>
    </xf>
    <xf numFmtId="0" fontId="0" fillId="0" borderId="0" xfId="0" applyFill="1" applyBorder="1" applyAlignment="1">
      <alignment horizontal="center"/>
    </xf>
    <xf numFmtId="0" fontId="15" fillId="0" borderId="0" xfId="0" applyFont="1" applyAlignment="1">
      <alignment horizontal="left" vertical="top" wrapText="1"/>
    </xf>
    <xf numFmtId="0" fontId="15" fillId="44" borderId="1" xfId="0" applyFont="1" applyFill="1" applyBorder="1" applyAlignment="1">
      <alignment horizontal="center"/>
    </xf>
    <xf numFmtId="0" fontId="15" fillId="44" borderId="0" xfId="0" applyFont="1" applyFill="1" applyBorder="1" applyAlignment="1">
      <alignment horizontal="center"/>
    </xf>
    <xf numFmtId="0" fontId="15" fillId="44" borderId="7" xfId="0" applyFont="1" applyFill="1" applyBorder="1" applyAlignment="1">
      <alignment horizontal="center"/>
    </xf>
    <xf numFmtId="0" fontId="49" fillId="0" borderId="0" xfId="0" applyFont="1" applyFill="1" applyBorder="1" applyAlignment="1">
      <alignment horizontal="center"/>
    </xf>
    <xf numFmtId="0" fontId="15" fillId="0" borderId="0" xfId="0" applyFont="1" applyFill="1" applyBorder="1" applyAlignment="1">
      <alignment horizontal="center"/>
    </xf>
    <xf numFmtId="0" fontId="15" fillId="0" borderId="0" xfId="0" applyFont="1" applyFill="1" applyAlignment="1">
      <alignment horizontal="center"/>
    </xf>
    <xf numFmtId="0" fontId="15" fillId="0" borderId="6" xfId="0" applyFont="1" applyBorder="1" applyAlignment="1">
      <alignment horizontal="left" wrapText="1"/>
    </xf>
    <xf numFmtId="0" fontId="15" fillId="0" borderId="1" xfId="0" applyFont="1" applyBorder="1" applyAlignment="1">
      <alignment horizontal="left" wrapText="1"/>
    </xf>
    <xf numFmtId="0" fontId="15" fillId="0" borderId="0" xfId="0" applyFont="1" applyBorder="1" applyAlignment="1">
      <alignment horizontal="left" wrapText="1"/>
    </xf>
    <xf numFmtId="0" fontId="0" fillId="0" borderId="0" xfId="0" applyAlignment="1">
      <alignment wrapText="1"/>
    </xf>
    <xf numFmtId="1" fontId="15" fillId="0" borderId="0" xfId="0" applyNumberFormat="1" applyFont="1" applyFill="1" applyBorder="1" applyAlignment="1">
      <alignment horizontal="center"/>
    </xf>
    <xf numFmtId="0" fontId="50" fillId="0" borderId="0" xfId="0" applyFont="1" applyBorder="1" applyAlignment="1">
      <alignment wrapText="1"/>
    </xf>
    <xf numFmtId="0" fontId="0" fillId="0" borderId="0" xfId="0" applyFill="1" applyBorder="1" applyAlignment="1">
      <alignment horizontal="left" wrapText="1" indent="2"/>
    </xf>
    <xf numFmtId="0" fontId="0" fillId="0" borderId="5" xfId="0" applyBorder="1" applyAlignment="1">
      <alignment horizontal="left" indent="2"/>
    </xf>
    <xf numFmtId="0" fontId="0" fillId="41" borderId="5" xfId="0" applyFont="1" applyFill="1" applyBorder="1" applyAlignment="1">
      <alignment horizontal="center"/>
    </xf>
    <xf numFmtId="0" fontId="0" fillId="41" borderId="21" xfId="0" applyFont="1" applyFill="1" applyBorder="1" applyAlignment="1">
      <alignment horizontal="center"/>
    </xf>
    <xf numFmtId="0" fontId="0" fillId="0" borderId="0" xfId="0" applyBorder="1" applyAlignment="1">
      <alignment horizontal="left" wrapText="1" indent="2"/>
    </xf>
    <xf numFmtId="0" fontId="0" fillId="41" borderId="37" xfId="0" applyFont="1" applyFill="1" applyBorder="1" applyAlignment="1">
      <alignment horizontal="center" wrapText="1"/>
    </xf>
    <xf numFmtId="0" fontId="0" fillId="41" borderId="23" xfId="0" applyFont="1" applyFill="1" applyBorder="1" applyAlignment="1">
      <alignment horizontal="center" wrapText="1"/>
    </xf>
    <xf numFmtId="0" fontId="0" fillId="41" borderId="6" xfId="0" applyFont="1" applyFill="1" applyBorder="1" applyAlignment="1">
      <alignment horizontal="center" wrapText="1"/>
    </xf>
    <xf numFmtId="3" fontId="49" fillId="0" borderId="35" xfId="0" quotePrefix="1" applyNumberFormat="1" applyFont="1" applyBorder="1" applyAlignment="1">
      <alignment horizontal="left" wrapText="1"/>
    </xf>
    <xf numFmtId="0" fontId="0" fillId="0" borderId="0" xfId="0" applyFill="1" applyBorder="1" applyAlignment="1"/>
    <xf numFmtId="0" fontId="0" fillId="0" borderId="1" xfId="0" applyFill="1" applyBorder="1" applyAlignment="1"/>
    <xf numFmtId="0" fontId="0" fillId="0" borderId="1" xfId="0" applyFill="1" applyBorder="1" applyAlignment="1">
      <alignment horizontal="center"/>
    </xf>
    <xf numFmtId="166" fontId="0" fillId="0" borderId="5" xfId="0" applyNumberFormat="1" applyBorder="1" applyAlignment="1">
      <alignment horizontal="center"/>
    </xf>
    <xf numFmtId="166" fontId="0" fillId="0" borderId="21" xfId="0" applyNumberFormat="1" applyBorder="1" applyAlignment="1">
      <alignment horizontal="center"/>
    </xf>
    <xf numFmtId="0" fontId="50" fillId="44" borderId="0" xfId="0" applyFont="1" applyFill="1" applyBorder="1" applyAlignment="1">
      <alignment horizontal="center"/>
    </xf>
    <xf numFmtId="0" fontId="50" fillId="44" borderId="5" xfId="0" applyFont="1" applyFill="1" applyBorder="1" applyAlignment="1">
      <alignment horizontal="center"/>
    </xf>
    <xf numFmtId="3" fontId="15" fillId="0" borderId="1" xfId="0" quotePrefix="1" applyNumberFormat="1" applyFont="1" applyBorder="1" applyAlignment="1">
      <alignment horizontal="center" vertical="top" wrapText="1"/>
    </xf>
    <xf numFmtId="166" fontId="15" fillId="44" borderId="27" xfId="0" quotePrefix="1" applyNumberFormat="1" applyFont="1" applyFill="1" applyBorder="1" applyAlignment="1">
      <alignment horizontal="center"/>
    </xf>
    <xf numFmtId="0" fontId="49" fillId="0" borderId="0" xfId="0" applyFont="1" applyFill="1" applyAlignment="1">
      <alignment horizontal="center"/>
    </xf>
    <xf numFmtId="0" fontId="15" fillId="0" borderId="0" xfId="0" applyNumberFormat="1" applyFont="1" applyFill="1" applyBorder="1" applyAlignment="1">
      <alignment horizontal="center"/>
    </xf>
    <xf numFmtId="0" fontId="50" fillId="0" borderId="33" xfId="0" applyFont="1" applyBorder="1" applyAlignment="1">
      <alignment wrapText="1"/>
    </xf>
    <xf numFmtId="0" fontId="15" fillId="0" borderId="34" xfId="0" applyFont="1" applyBorder="1" applyAlignment="1">
      <alignment horizontal="left"/>
    </xf>
    <xf numFmtId="0" fontId="15" fillId="0" borderId="33" xfId="0" applyFont="1" applyFill="1" applyBorder="1" applyAlignment="1">
      <alignment horizontal="left"/>
    </xf>
    <xf numFmtId="0" fontId="15" fillId="0" borderId="34" xfId="0" applyFont="1" applyFill="1" applyBorder="1" applyAlignment="1">
      <alignment horizontal="left"/>
    </xf>
    <xf numFmtId="166" fontId="15" fillId="0" borderId="34" xfId="0" quotePrefix="1" applyNumberFormat="1" applyFont="1" applyFill="1" applyBorder="1" applyAlignment="1">
      <alignment horizontal="center"/>
    </xf>
    <xf numFmtId="166" fontId="50" fillId="52" borderId="18" xfId="0" quotePrefix="1" applyNumberFormat="1" applyFont="1" applyFill="1" applyBorder="1" applyAlignment="1">
      <alignment horizontal="center" wrapText="1"/>
    </xf>
    <xf numFmtId="166" fontId="50" fillId="52" borderId="19" xfId="0" quotePrefix="1" applyNumberFormat="1" applyFont="1" applyFill="1" applyBorder="1" applyAlignment="1">
      <alignment horizontal="center" wrapText="1"/>
    </xf>
    <xf numFmtId="166" fontId="50" fillId="52" borderId="1" xfId="0" quotePrefix="1" applyNumberFormat="1" applyFont="1" applyFill="1" applyBorder="1" applyAlignment="1">
      <alignment horizontal="center" wrapText="1"/>
    </xf>
    <xf numFmtId="166" fontId="15" fillId="52" borderId="1" xfId="0" applyNumberFormat="1" applyFont="1" applyFill="1" applyBorder="1" applyAlignment="1">
      <alignment horizontal="center" vertical="top" wrapText="1"/>
    </xf>
    <xf numFmtId="0" fontId="50" fillId="0" borderId="18" xfId="0" applyFont="1" applyBorder="1" applyAlignment="1">
      <alignment horizontal="left" wrapText="1"/>
    </xf>
    <xf numFmtId="0" fontId="49" fillId="0" borderId="1" xfId="0" applyFont="1" applyFill="1" applyBorder="1" applyAlignment="1">
      <alignment horizontal="left" vertical="top" wrapText="1"/>
    </xf>
    <xf numFmtId="0" fontId="15" fillId="0" borderId="29" xfId="0" applyFont="1" applyFill="1" applyBorder="1" applyAlignment="1">
      <alignment horizontal="center"/>
    </xf>
    <xf numFmtId="166" fontId="15" fillId="0" borderId="24" xfId="0" applyNumberFormat="1" applyFont="1" applyFill="1" applyBorder="1" applyAlignment="1">
      <alignment horizontal="center" wrapText="1"/>
    </xf>
    <xf numFmtId="164" fontId="15" fillId="0" borderId="24" xfId="0" applyNumberFormat="1" applyFont="1" applyFill="1" applyBorder="1" applyAlignment="1">
      <alignment horizontal="center" wrapText="1"/>
    </xf>
    <xf numFmtId="3" fontId="15" fillId="0" borderId="23" xfId="0" applyNumberFormat="1" applyFont="1" applyFill="1" applyBorder="1" applyAlignment="1">
      <alignment horizontal="center" vertical="top"/>
    </xf>
    <xf numFmtId="0" fontId="49" fillId="0" borderId="0" xfId="0" applyFont="1" applyFill="1" applyBorder="1" applyAlignment="1">
      <alignment horizontal="center" vertical="center" wrapText="1"/>
    </xf>
    <xf numFmtId="0" fontId="15" fillId="3" borderId="36" xfId="0" applyFont="1" applyFill="1" applyBorder="1" applyAlignment="1">
      <alignment horizontal="center" vertical="center" wrapText="1"/>
    </xf>
    <xf numFmtId="0" fontId="15" fillId="0" borderId="1" xfId="0" applyFont="1" applyBorder="1" applyAlignment="1">
      <alignment vertical="top" wrapText="1"/>
    </xf>
    <xf numFmtId="166" fontId="15" fillId="0" borderId="27" xfId="0" quotePrefix="1" applyNumberFormat="1" applyFont="1" applyBorder="1" applyAlignment="1">
      <alignment horizontal="center"/>
    </xf>
    <xf numFmtId="3" fontId="15" fillId="0" borderId="6" xfId="0" applyNumberFormat="1" applyFont="1" applyBorder="1" applyAlignment="1">
      <alignment horizontal="center"/>
    </xf>
    <xf numFmtId="3" fontId="15" fillId="0" borderId="5" xfId="0" applyNumberFormat="1" applyFont="1" applyBorder="1" applyAlignment="1">
      <alignment horizontal="center"/>
    </xf>
    <xf numFmtId="3" fontId="15" fillId="44" borderId="6" xfId="0" applyNumberFormat="1" applyFont="1" applyFill="1" applyBorder="1" applyAlignment="1">
      <alignment horizontal="center"/>
    </xf>
    <xf numFmtId="3" fontId="15" fillId="44" borderId="5" xfId="0" applyNumberFormat="1" applyFont="1" applyFill="1" applyBorder="1" applyAlignment="1">
      <alignment horizontal="center"/>
    </xf>
    <xf numFmtId="3" fontId="15" fillId="44" borderId="21" xfId="0" applyNumberFormat="1" applyFont="1" applyFill="1" applyBorder="1" applyAlignment="1">
      <alignment horizontal="center"/>
    </xf>
    <xf numFmtId="3" fontId="15" fillId="0" borderId="5" xfId="0" quotePrefix="1" applyNumberFormat="1" applyFont="1" applyFill="1" applyBorder="1" applyAlignment="1">
      <alignment horizontal="center"/>
    </xf>
    <xf numFmtId="3" fontId="15" fillId="0" borderId="21" xfId="0" quotePrefix="1" applyNumberFormat="1" applyFont="1" applyFill="1" applyBorder="1" applyAlignment="1">
      <alignment horizontal="center"/>
    </xf>
    <xf numFmtId="166" fontId="15" fillId="0" borderId="1" xfId="0" quotePrefix="1" applyNumberFormat="1" applyFont="1" applyBorder="1" applyAlignment="1">
      <alignment horizontal="center" vertical="top" wrapText="1"/>
    </xf>
    <xf numFmtId="3" fontId="15" fillId="44" borderId="18" xfId="0" quotePrefix="1" applyNumberFormat="1" applyFont="1" applyFill="1" applyBorder="1" applyAlignment="1">
      <alignment horizontal="center"/>
    </xf>
    <xf numFmtId="164" fontId="15" fillId="0" borderId="18" xfId="0" applyNumberFormat="1" applyFont="1" applyBorder="1" applyAlignment="1">
      <alignment horizontal="center"/>
    </xf>
    <xf numFmtId="168" fontId="15" fillId="0" borderId="0" xfId="0" applyNumberFormat="1" applyFont="1" applyBorder="1" applyAlignment="1">
      <alignment horizontal="center"/>
    </xf>
    <xf numFmtId="168" fontId="15" fillId="0" borderId="6" xfId="0" applyNumberFormat="1" applyFont="1" applyBorder="1" applyAlignment="1">
      <alignment horizontal="center"/>
    </xf>
    <xf numFmtId="0" fontId="0" fillId="0" borderId="1" xfId="0" applyFill="1" applyBorder="1" applyAlignment="1">
      <alignment horizontal="left"/>
    </xf>
    <xf numFmtId="0" fontId="0" fillId="3" borderId="35" xfId="0" applyFill="1" applyBorder="1" applyAlignment="1">
      <alignment wrapText="1"/>
    </xf>
    <xf numFmtId="166" fontId="0" fillId="0" borderId="21" xfId="0" applyNumberFormat="1" applyFill="1" applyBorder="1" applyAlignment="1">
      <alignment horizontal="center"/>
    </xf>
    <xf numFmtId="0" fontId="0" fillId="3" borderId="36" xfId="0" applyFill="1" applyBorder="1" applyAlignment="1">
      <alignment wrapText="1"/>
    </xf>
    <xf numFmtId="0" fontId="0" fillId="0" borderId="23" xfId="0" applyFill="1" applyBorder="1" applyAlignment="1">
      <alignment horizontal="center"/>
    </xf>
    <xf numFmtId="0" fontId="0" fillId="0" borderId="21" xfId="0" applyFill="1" applyBorder="1"/>
    <xf numFmtId="0" fontId="3" fillId="0" borderId="0" xfId="0" applyFont="1" applyFill="1" applyAlignment="1">
      <alignment horizontal="center"/>
    </xf>
    <xf numFmtId="166" fontId="46" fillId="0" borderId="0" xfId="0" applyNumberFormat="1" applyFont="1" applyFill="1" applyBorder="1" applyAlignment="1">
      <alignment horizontal="right"/>
    </xf>
    <xf numFmtId="0" fontId="72" fillId="0" borderId="0" xfId="0" quotePrefix="1" applyFont="1" applyFill="1"/>
    <xf numFmtId="0" fontId="0" fillId="0" borderId="0" xfId="0" quotePrefix="1" applyFill="1"/>
    <xf numFmtId="0" fontId="43" fillId="0" borderId="0" xfId="315" applyFill="1" applyAlignment="1">
      <alignment horizontal="left" vertical="center"/>
    </xf>
    <xf numFmtId="0" fontId="0" fillId="0" borderId="0" xfId="0" applyFill="1" applyAlignment="1">
      <alignment horizontal="left" vertical="center"/>
    </xf>
    <xf numFmtId="0" fontId="0" fillId="0" borderId="0" xfId="0" applyFill="1" applyAlignment="1">
      <alignment horizontal="left" vertical="center" indent="2"/>
    </xf>
    <xf numFmtId="0" fontId="46" fillId="0" borderId="0" xfId="0" applyFont="1" applyFill="1"/>
    <xf numFmtId="0" fontId="46" fillId="0" borderId="0" xfId="0" applyFont="1" applyFill="1" applyAlignment="1">
      <alignment horizontal="left" vertical="center" indent="2"/>
    </xf>
    <xf numFmtId="0" fontId="46" fillId="0" borderId="0" xfId="0" applyFont="1" applyFill="1" applyBorder="1" applyAlignment="1">
      <alignment horizontal="center"/>
    </xf>
    <xf numFmtId="0" fontId="0" fillId="0" borderId="34" xfId="0" applyFill="1" applyBorder="1" applyAlignment="1">
      <alignment horizontal="center"/>
    </xf>
    <xf numFmtId="166" fontId="79" fillId="0" borderId="0" xfId="0" applyNumberFormat="1" applyFont="1" applyFill="1" applyBorder="1" applyAlignment="1">
      <alignment horizontal="right"/>
    </xf>
    <xf numFmtId="0" fontId="0" fillId="0" borderId="7" xfId="0" applyFill="1" applyBorder="1"/>
    <xf numFmtId="1" fontId="0" fillId="0" borderId="0" xfId="0" applyNumberFormat="1" applyFill="1" applyBorder="1"/>
    <xf numFmtId="3" fontId="0" fillId="0" borderId="0" xfId="0" applyNumberFormat="1" applyFill="1" applyBorder="1"/>
    <xf numFmtId="166" fontId="0" fillId="0" borderId="7" xfId="0" applyNumberFormat="1" applyFill="1" applyBorder="1"/>
    <xf numFmtId="0" fontId="0" fillId="0" borderId="5" xfId="0" applyFill="1" applyBorder="1"/>
    <xf numFmtId="0" fontId="0" fillId="0" borderId="18" xfId="0" applyFill="1" applyBorder="1" applyAlignment="1">
      <alignment horizontal="center"/>
    </xf>
    <xf numFmtId="0" fontId="0" fillId="0" borderId="6" xfId="0" applyFill="1" applyBorder="1"/>
    <xf numFmtId="0" fontId="0" fillId="0" borderId="37" xfId="0" applyFill="1" applyBorder="1"/>
    <xf numFmtId="0" fontId="0" fillId="0" borderId="23" xfId="0" applyFill="1" applyBorder="1"/>
    <xf numFmtId="0" fontId="3" fillId="0" borderId="18" xfId="0" applyFont="1" applyFill="1" applyBorder="1"/>
    <xf numFmtId="0" fontId="70" fillId="0" borderId="42" xfId="0" applyFont="1" applyFill="1" applyBorder="1"/>
    <xf numFmtId="0" fontId="3" fillId="0" borderId="1" xfId="0" applyFont="1" applyFill="1" applyBorder="1"/>
    <xf numFmtId="0" fontId="70" fillId="0" borderId="43" xfId="0" applyFont="1" applyFill="1" applyBorder="1"/>
    <xf numFmtId="0" fontId="0" fillId="0" borderId="1" xfId="0" applyFill="1" applyBorder="1"/>
    <xf numFmtId="0" fontId="0" fillId="0" borderId="43" xfId="0" applyFill="1" applyBorder="1"/>
    <xf numFmtId="0" fontId="68" fillId="0" borderId="43" xfId="0" applyFont="1" applyFill="1" applyBorder="1"/>
    <xf numFmtId="0" fontId="0" fillId="0" borderId="44" xfId="0" applyFill="1" applyBorder="1"/>
    <xf numFmtId="0" fontId="68" fillId="0" borderId="43" xfId="0" applyFont="1" applyFill="1" applyBorder="1" applyAlignment="1">
      <alignment horizontal="left"/>
    </xf>
    <xf numFmtId="0" fontId="0" fillId="0" borderId="43" xfId="0" applyFill="1" applyBorder="1" applyAlignment="1">
      <alignment horizontal="left"/>
    </xf>
    <xf numFmtId="0" fontId="72" fillId="0" borderId="43" xfId="509" quotePrefix="1" applyFont="1" applyFill="1" applyBorder="1" applyAlignment="1">
      <alignment horizontal="left"/>
    </xf>
    <xf numFmtId="0" fontId="73" fillId="0" borderId="43" xfId="0" applyFont="1" applyFill="1" applyBorder="1" applyAlignment="1">
      <alignment horizontal="left" indent="3"/>
    </xf>
    <xf numFmtId="0" fontId="74" fillId="0" borderId="43" xfId="0" applyFont="1" applyFill="1" applyBorder="1" applyAlignment="1">
      <alignment horizontal="left"/>
    </xf>
    <xf numFmtId="0" fontId="3" fillId="0" borderId="6" xfId="0" applyFont="1" applyFill="1" applyBorder="1"/>
    <xf numFmtId="0" fontId="70" fillId="0" borderId="45" xfId="0" applyFont="1" applyFill="1" applyBorder="1"/>
    <xf numFmtId="0" fontId="46" fillId="0" borderId="0" xfId="0" applyFont="1" applyFill="1" applyBorder="1"/>
    <xf numFmtId="174" fontId="46" fillId="0" borderId="0" xfId="0" applyNumberFormat="1" applyFont="1" applyFill="1" applyBorder="1" applyAlignment="1">
      <alignment horizontal="right"/>
    </xf>
    <xf numFmtId="0" fontId="79" fillId="0" borderId="0" xfId="0" applyFont="1" applyFill="1" applyBorder="1" applyAlignment="1">
      <alignment horizontal="center"/>
    </xf>
    <xf numFmtId="0" fontId="79" fillId="0" borderId="0" xfId="0" applyFont="1" applyFill="1" applyBorder="1"/>
    <xf numFmtId="0" fontId="69" fillId="0" borderId="0" xfId="0" applyFont="1" applyFill="1" applyBorder="1"/>
    <xf numFmtId="0" fontId="80" fillId="0" borderId="0" xfId="0" applyFont="1" applyFill="1" applyBorder="1"/>
    <xf numFmtId="0" fontId="80" fillId="0" borderId="0" xfId="0" applyFont="1" applyFill="1" applyBorder="1" applyAlignment="1">
      <alignment horizontal="left"/>
    </xf>
    <xf numFmtId="0" fontId="46" fillId="0" borderId="0" xfId="0" applyFont="1" applyFill="1" applyBorder="1" applyAlignment="1">
      <alignment horizontal="left"/>
    </xf>
    <xf numFmtId="0" fontId="72" fillId="0" borderId="0" xfId="0" applyFont="1" applyFill="1" applyBorder="1" applyAlignment="1">
      <alignment horizontal="left"/>
    </xf>
    <xf numFmtId="0" fontId="81" fillId="0" borderId="0" xfId="0" applyFont="1" applyFill="1" applyBorder="1" applyAlignment="1">
      <alignment horizontal="left" indent="3"/>
    </xf>
    <xf numFmtId="0" fontId="72" fillId="0" borderId="0" xfId="0" applyFont="1" applyFill="1" applyBorder="1"/>
    <xf numFmtId="0" fontId="72" fillId="0" borderId="0" xfId="0" applyFont="1" applyFill="1" applyBorder="1" applyAlignment="1">
      <alignment horizontal="left" vertical="center"/>
    </xf>
    <xf numFmtId="0" fontId="20" fillId="0" borderId="0" xfId="7" applyFill="1" applyBorder="1"/>
    <xf numFmtId="0" fontId="20" fillId="0" borderId="0" xfId="7" applyFill="1" applyBorder="1" applyAlignment="1">
      <alignment horizontal="left" vertical="center"/>
    </xf>
    <xf numFmtId="0" fontId="82" fillId="0" borderId="0" xfId="0" applyFont="1" applyFill="1" applyBorder="1" applyAlignment="1">
      <alignment horizontal="left" vertical="center"/>
    </xf>
    <xf numFmtId="0" fontId="46" fillId="0" borderId="0" xfId="0" applyFont="1" applyFill="1" applyBorder="1" applyAlignment="1">
      <alignment horizontal="left" vertical="center"/>
    </xf>
    <xf numFmtId="0" fontId="83" fillId="0" borderId="0" xfId="0" applyFont="1" applyFill="1" applyBorder="1"/>
    <xf numFmtId="0" fontId="83" fillId="0" borderId="0" xfId="0" applyFont="1" applyFill="1" applyBorder="1" applyAlignment="1">
      <alignment horizontal="left" vertical="center"/>
    </xf>
    <xf numFmtId="0" fontId="46" fillId="0" borderId="0" xfId="0" applyFont="1" applyFill="1" applyBorder="1" applyAlignment="1">
      <alignment horizontal="left" vertical="center" indent="2"/>
    </xf>
    <xf numFmtId="0" fontId="46" fillId="0" borderId="34" xfId="0" applyFont="1" applyFill="1" applyBorder="1" applyAlignment="1">
      <alignment horizontal="center"/>
    </xf>
    <xf numFmtId="0" fontId="50" fillId="0" borderId="0" xfId="0" applyFont="1" applyFill="1" applyBorder="1" applyAlignment="1">
      <alignment horizontal="left" vertical="top" wrapText="1"/>
    </xf>
    <xf numFmtId="3" fontId="50" fillId="0" borderId="0" xfId="0" quotePrefix="1" applyNumberFormat="1" applyFont="1" applyFill="1" applyBorder="1" applyAlignment="1">
      <alignment horizontal="center" vertical="top" wrapText="1"/>
    </xf>
    <xf numFmtId="164" fontId="50" fillId="0" borderId="0" xfId="0" quotePrefix="1" applyNumberFormat="1" applyFont="1" applyFill="1" applyBorder="1" applyAlignment="1">
      <alignment horizontal="right" vertical="top" wrapText="1"/>
    </xf>
    <xf numFmtId="164" fontId="50" fillId="0" borderId="0" xfId="0" applyNumberFormat="1" applyFont="1" applyFill="1" applyBorder="1" applyAlignment="1">
      <alignment horizontal="center" vertical="top" wrapText="1"/>
    </xf>
    <xf numFmtId="0" fontId="50" fillId="0" borderId="0" xfId="0" applyFont="1" applyFill="1"/>
    <xf numFmtId="0" fontId="15" fillId="0" borderId="18" xfId="0" applyFont="1" applyFill="1" applyBorder="1" applyAlignment="1">
      <alignment wrapText="1"/>
    </xf>
    <xf numFmtId="0" fontId="15" fillId="42" borderId="18" xfId="0" applyFont="1" applyFill="1" applyBorder="1"/>
    <xf numFmtId="0" fontId="15" fillId="42" borderId="27" xfId="0" applyFont="1" applyFill="1" applyBorder="1"/>
    <xf numFmtId="0" fontId="15" fillId="42" borderId="19" xfId="0" applyFont="1" applyFill="1" applyBorder="1"/>
    <xf numFmtId="2" fontId="15" fillId="0" borderId="0" xfId="0" applyNumberFormat="1" applyFont="1" applyBorder="1"/>
    <xf numFmtId="2" fontId="21" fillId="0" borderId="27" xfId="37" applyNumberFormat="1" applyFont="1" applyBorder="1" applyAlignment="1">
      <alignment horizontal="right"/>
    </xf>
    <xf numFmtId="2" fontId="21" fillId="0" borderId="19" xfId="37" applyNumberFormat="1" applyFont="1" applyBorder="1" applyAlignment="1">
      <alignment horizontal="right"/>
    </xf>
    <xf numFmtId="0" fontId="15" fillId="0" borderId="6" xfId="0" applyFont="1" applyBorder="1" applyAlignment="1">
      <alignment horizontal="right"/>
    </xf>
    <xf numFmtId="164" fontId="15" fillId="0" borderId="0" xfId="0" applyNumberFormat="1" applyFont="1" applyFill="1" applyBorder="1"/>
    <xf numFmtId="2" fontId="15" fillId="0" borderId="0" xfId="0" applyNumberFormat="1" applyFont="1" applyFill="1" applyBorder="1"/>
    <xf numFmtId="2" fontId="15" fillId="0" borderId="18" xfId="0" applyNumberFormat="1" applyFont="1" applyBorder="1"/>
    <xf numFmtId="2" fontId="15" fillId="0" borderId="1" xfId="0" applyNumberFormat="1" applyFont="1" applyBorder="1"/>
    <xf numFmtId="164" fontId="15" fillId="0" borderId="1" xfId="0" applyNumberFormat="1" applyFont="1" applyFill="1" applyBorder="1"/>
    <xf numFmtId="3" fontId="65" fillId="0" borderId="1" xfId="0" applyNumberFormat="1" applyFont="1" applyBorder="1"/>
    <xf numFmtId="17" fontId="15" fillId="0" borderId="0" xfId="0" applyNumberFormat="1" applyFont="1" applyBorder="1" applyAlignment="1">
      <alignment horizontal="left" wrapText="1"/>
    </xf>
    <xf numFmtId="0" fontId="15" fillId="0" borderId="27" xfId="0" applyFont="1" applyBorder="1" applyAlignment="1">
      <alignment horizontal="left" wrapText="1"/>
    </xf>
    <xf numFmtId="0" fontId="49" fillId="3" borderId="18" xfId="0" applyFont="1" applyFill="1" applyBorder="1" applyAlignment="1">
      <alignment horizontal="left" wrapText="1"/>
    </xf>
    <xf numFmtId="16" fontId="0" fillId="0" borderId="0" xfId="0" quotePrefix="1" applyNumberFormat="1" applyAlignment="1">
      <alignment horizontal="left"/>
    </xf>
    <xf numFmtId="0" fontId="0" fillId="0" borderId="18" xfId="0" applyBorder="1" applyAlignment="1">
      <alignment horizontal="center"/>
    </xf>
    <xf numFmtId="0" fontId="0" fillId="0" borderId="1" xfId="0" applyBorder="1" applyAlignment="1">
      <alignment horizontal="center"/>
    </xf>
    <xf numFmtId="0" fontId="0" fillId="0" borderId="6" xfId="0" applyBorder="1" applyAlignment="1">
      <alignment horizontal="center"/>
    </xf>
    <xf numFmtId="1" fontId="15" fillId="0" borderId="1" xfId="0" applyNumberFormat="1" applyFont="1" applyBorder="1" applyAlignment="1">
      <alignment horizontal="center"/>
    </xf>
    <xf numFmtId="1" fontId="15" fillId="0" borderId="0" xfId="0" applyNumberFormat="1" applyFont="1"/>
    <xf numFmtId="0" fontId="15" fillId="0" borderId="5" xfId="0" applyFont="1" applyBorder="1" applyAlignment="1">
      <alignment wrapText="1"/>
    </xf>
    <xf numFmtId="0" fontId="0" fillId="50" borderId="0" xfId="0" applyFill="1" applyAlignment="1">
      <alignment vertical="center"/>
    </xf>
    <xf numFmtId="0" fontId="0" fillId="0" borderId="0" xfId="0" applyFont="1" applyAlignment="1">
      <alignment horizontal="left" vertical="top"/>
    </xf>
    <xf numFmtId="0" fontId="0" fillId="0" borderId="0" xfId="0" applyFont="1" applyAlignment="1">
      <alignment horizontal="left"/>
    </xf>
    <xf numFmtId="0" fontId="46" fillId="0" borderId="0" xfId="0" applyFont="1" applyAlignment="1">
      <alignment horizontal="left" indent="2"/>
    </xf>
    <xf numFmtId="0" fontId="0" fillId="0" borderId="0" xfId="0" applyFont="1" applyBorder="1" applyAlignment="1">
      <alignment horizontal="left"/>
    </xf>
    <xf numFmtId="0" fontId="0" fillId="0" borderId="0" xfId="0" applyFont="1" applyBorder="1" applyAlignment="1">
      <alignment horizontal="left" indent="2"/>
    </xf>
    <xf numFmtId="0" fontId="0" fillId="0" borderId="0" xfId="0" applyFont="1" applyFill="1" applyBorder="1" applyAlignment="1">
      <alignment horizontal="left"/>
    </xf>
    <xf numFmtId="0" fontId="0" fillId="0" borderId="0" xfId="0" applyFont="1" applyFill="1" applyBorder="1" applyAlignment="1">
      <alignment horizontal="left" vertical="top"/>
    </xf>
    <xf numFmtId="0" fontId="0" fillId="0" borderId="1" xfId="0" applyFont="1" applyFill="1" applyBorder="1" applyAlignment="1">
      <alignment horizontal="left" vertical="top"/>
    </xf>
    <xf numFmtId="0" fontId="72" fillId="0" borderId="0" xfId="509" quotePrefix="1" applyFont="1" applyFill="1" applyBorder="1" applyAlignment="1">
      <alignment horizontal="left" vertical="top"/>
    </xf>
    <xf numFmtId="0" fontId="3" fillId="0" borderId="0" xfId="0" applyFont="1" applyAlignment="1">
      <alignment horizontal="left"/>
    </xf>
    <xf numFmtId="169" fontId="0" fillId="0" borderId="0" xfId="0" applyNumberFormat="1" applyFont="1" applyAlignment="1">
      <alignment horizontal="left"/>
    </xf>
    <xf numFmtId="0" fontId="0" fillId="0" borderId="0" xfId="0" applyFont="1" applyAlignment="1">
      <alignment horizontal="left" wrapText="1"/>
    </xf>
    <xf numFmtId="10" fontId="2" fillId="0" borderId="0" xfId="2" applyNumberFormat="1" applyFont="1" applyAlignment="1">
      <alignment horizontal="left"/>
    </xf>
    <xf numFmtId="166" fontId="0" fillId="0" borderId="0" xfId="0" quotePrefix="1" applyNumberFormat="1" applyFont="1" applyAlignment="1">
      <alignment horizontal="left" vertical="top" wrapText="1"/>
    </xf>
    <xf numFmtId="3" fontId="0" fillId="0" borderId="0" xfId="0" quotePrefix="1" applyNumberFormat="1" applyFont="1" applyAlignment="1">
      <alignment horizontal="left" vertical="top" wrapText="1"/>
    </xf>
    <xf numFmtId="0" fontId="0" fillId="0" borderId="27" xfId="0" applyFont="1" applyBorder="1" applyAlignment="1">
      <alignment horizontal="left"/>
    </xf>
    <xf numFmtId="166" fontId="0" fillId="0" borderId="0" xfId="0" applyNumberFormat="1" applyFont="1" applyBorder="1" applyAlignment="1">
      <alignment horizontal="left"/>
    </xf>
    <xf numFmtId="0" fontId="0" fillId="0" borderId="1" xfId="0" applyFont="1" applyBorder="1" applyAlignment="1">
      <alignment horizontal="left"/>
    </xf>
    <xf numFmtId="164" fontId="0" fillId="0" borderId="0" xfId="0" applyNumberFormat="1" applyFont="1" applyAlignment="1">
      <alignment horizontal="left"/>
    </xf>
    <xf numFmtId="172" fontId="0" fillId="0" borderId="0" xfId="0" applyNumberFormat="1" applyFont="1" applyAlignment="1">
      <alignment horizontal="left"/>
    </xf>
    <xf numFmtId="0" fontId="0" fillId="0" borderId="0" xfId="0" applyAlignment="1">
      <alignment wrapText="1"/>
    </xf>
    <xf numFmtId="0" fontId="4" fillId="7" borderId="0" xfId="0" applyFont="1" applyFill="1" applyAlignment="1">
      <alignment horizontal="center" wrapText="1"/>
    </xf>
    <xf numFmtId="171" fontId="67" fillId="0" borderId="0" xfId="0" applyNumberFormat="1" applyFont="1" applyFill="1" applyBorder="1" applyAlignment="1">
      <alignment horizontal="center"/>
    </xf>
    <xf numFmtId="0" fontId="55" fillId="0" borderId="0" xfId="0" applyFont="1" applyFill="1" applyBorder="1"/>
    <xf numFmtId="1" fontId="55" fillId="0" borderId="0" xfId="0" applyNumberFormat="1" applyFont="1" applyFill="1" applyBorder="1" applyAlignment="1">
      <alignment horizontal="center"/>
    </xf>
    <xf numFmtId="171" fontId="55" fillId="0" borderId="0" xfId="0" applyNumberFormat="1" applyFont="1" applyFill="1" applyBorder="1" applyAlignment="1">
      <alignment horizontal="center"/>
    </xf>
    <xf numFmtId="0" fontId="49" fillId="0" borderId="0" xfId="0" applyFont="1" applyAlignment="1">
      <alignment horizontal="center"/>
    </xf>
    <xf numFmtId="0" fontId="3" fillId="3" borderId="0" xfId="0" applyFont="1" applyFill="1" applyAlignment="1">
      <alignment horizontal="left" wrapText="1"/>
    </xf>
    <xf numFmtId="0" fontId="0" fillId="0" borderId="0" xfId="0" applyAlignment="1">
      <alignment wrapText="1"/>
    </xf>
    <xf numFmtId="4" fontId="21" fillId="0" borderId="1" xfId="11" applyNumberFormat="1" applyFont="1" applyBorder="1" applyAlignment="1">
      <alignment horizontal="center"/>
    </xf>
    <xf numFmtId="4" fontId="21" fillId="0" borderId="0" xfId="11" applyNumberFormat="1" applyFont="1" applyBorder="1" applyAlignment="1">
      <alignment horizontal="center"/>
    </xf>
    <xf numFmtId="4" fontId="21" fillId="0" borderId="7" xfId="11" applyNumberFormat="1" applyFont="1" applyBorder="1" applyAlignment="1">
      <alignment horizontal="center"/>
    </xf>
    <xf numFmtId="0" fontId="21" fillId="49" borderId="33" xfId="0" applyFont="1" applyFill="1" applyBorder="1" applyAlignment="1">
      <alignment horizontal="center"/>
    </xf>
    <xf numFmtId="0" fontId="21" fillId="49" borderId="34" xfId="0" applyFont="1" applyFill="1" applyBorder="1" applyAlignment="1">
      <alignment horizontal="center"/>
    </xf>
    <xf numFmtId="0" fontId="21" fillId="49" borderId="35" xfId="0" applyFont="1" applyFill="1" applyBorder="1" applyAlignment="1">
      <alignment horizontal="center"/>
    </xf>
    <xf numFmtId="0" fontId="49" fillId="3" borderId="0" xfId="0" applyFont="1" applyFill="1" applyAlignment="1">
      <alignment horizontal="center"/>
    </xf>
    <xf numFmtId="0" fontId="15" fillId="41" borderId="27" xfId="0" applyFont="1" applyFill="1" applyBorder="1" applyAlignment="1">
      <alignment horizontal="center"/>
    </xf>
    <xf numFmtId="0" fontId="15" fillId="41" borderId="17" xfId="0" applyFont="1" applyFill="1" applyBorder="1" applyAlignment="1">
      <alignment horizontal="center"/>
    </xf>
    <xf numFmtId="0" fontId="15" fillId="41" borderId="19" xfId="0" applyFont="1" applyFill="1" applyBorder="1" applyAlignment="1">
      <alignment horizontal="center"/>
    </xf>
    <xf numFmtId="0" fontId="21" fillId="41" borderId="18" xfId="0" applyFont="1" applyFill="1" applyBorder="1" applyAlignment="1">
      <alignment horizontal="center"/>
    </xf>
    <xf numFmtId="0" fontId="49" fillId="41" borderId="33" xfId="0" applyFont="1" applyFill="1" applyBorder="1" applyAlignment="1">
      <alignment horizontal="center"/>
    </xf>
    <xf numFmtId="0" fontId="49" fillId="41" borderId="34" xfId="0" applyFont="1" applyFill="1" applyBorder="1" applyAlignment="1">
      <alignment horizontal="center"/>
    </xf>
    <xf numFmtId="0" fontId="15" fillId="41" borderId="18" xfId="0" applyFont="1" applyFill="1" applyBorder="1" applyAlignment="1">
      <alignment horizontal="center"/>
    </xf>
    <xf numFmtId="0" fontId="15" fillId="44" borderId="1" xfId="0" applyFont="1" applyFill="1" applyBorder="1" applyAlignment="1">
      <alignment horizontal="center"/>
    </xf>
    <xf numFmtId="0" fontId="15" fillId="44" borderId="0" xfId="0" applyFont="1" applyFill="1" applyBorder="1" applyAlignment="1">
      <alignment horizontal="center"/>
    </xf>
    <xf numFmtId="0" fontId="15" fillId="44" borderId="7" xfId="0" applyFont="1" applyFill="1" applyBorder="1" applyAlignment="1">
      <alignment horizontal="center"/>
    </xf>
    <xf numFmtId="0" fontId="15" fillId="44" borderId="18" xfId="0" applyFont="1" applyFill="1" applyBorder="1" applyAlignment="1">
      <alignment horizontal="center"/>
    </xf>
    <xf numFmtId="0" fontId="15" fillId="44" borderId="17" xfId="0" applyFont="1" applyFill="1" applyBorder="1" applyAlignment="1">
      <alignment horizontal="center"/>
    </xf>
    <xf numFmtId="0" fontId="49" fillId="41" borderId="19" xfId="0" applyFont="1" applyFill="1" applyBorder="1" applyAlignment="1">
      <alignment horizontal="center"/>
    </xf>
    <xf numFmtId="0" fontId="15" fillId="0" borderId="0" xfId="0" applyFont="1" applyFill="1" applyBorder="1" applyAlignment="1">
      <alignment horizontal="center"/>
    </xf>
    <xf numFmtId="0" fontId="49" fillId="0" borderId="1" xfId="0" applyFont="1" applyFill="1" applyBorder="1" applyAlignment="1">
      <alignment horizontal="center" vertical="top" wrapText="1"/>
    </xf>
    <xf numFmtId="0" fontId="49" fillId="0" borderId="0" xfId="0" applyFont="1" applyFill="1" applyBorder="1" applyAlignment="1">
      <alignment horizontal="center" vertical="top" wrapText="1"/>
    </xf>
    <xf numFmtId="0" fontId="15" fillId="0" borderId="0" xfId="0" applyFont="1" applyBorder="1" applyAlignment="1">
      <alignment horizontal="center" wrapText="1"/>
    </xf>
    <xf numFmtId="0" fontId="15" fillId="0" borderId="1" xfId="0" applyFont="1" applyFill="1" applyBorder="1" applyAlignment="1">
      <alignment horizontal="center"/>
    </xf>
    <xf numFmtId="0" fontId="15" fillId="0" borderId="0" xfId="0" applyFont="1" applyFill="1" applyAlignment="1">
      <alignment horizontal="center"/>
    </xf>
    <xf numFmtId="0" fontId="49" fillId="0" borderId="0" xfId="0" applyFont="1" applyBorder="1" applyAlignment="1">
      <alignment horizontal="center" vertical="top" wrapText="1"/>
    </xf>
    <xf numFmtId="0" fontId="15" fillId="0" borderId="6" xfId="0" applyFont="1" applyBorder="1" applyAlignment="1">
      <alignment horizontal="left" wrapText="1"/>
    </xf>
    <xf numFmtId="0" fontId="15" fillId="0" borderId="5" xfId="0" applyFont="1" applyBorder="1" applyAlignment="1">
      <alignment horizontal="left" wrapText="1"/>
    </xf>
    <xf numFmtId="0" fontId="15" fillId="0" borderId="1" xfId="0" applyFont="1" applyBorder="1" applyAlignment="1">
      <alignment horizontal="left" wrapText="1"/>
    </xf>
    <xf numFmtId="0" fontId="15" fillId="0" borderId="0" xfId="0" applyFont="1" applyBorder="1" applyAlignment="1">
      <alignment horizontal="left" wrapText="1"/>
    </xf>
    <xf numFmtId="0" fontId="0" fillId="0" borderId="0" xfId="0" applyBorder="1" applyAlignment="1">
      <alignment horizontal="center"/>
    </xf>
    <xf numFmtId="0" fontId="22" fillId="0" borderId="18" xfId="0" applyFont="1" applyFill="1" applyBorder="1" applyAlignment="1">
      <alignment horizontal="center"/>
    </xf>
    <xf numFmtId="0" fontId="0" fillId="44" borderId="19" xfId="0" applyFill="1" applyBorder="1" applyAlignment="1">
      <alignment horizontal="center"/>
    </xf>
    <xf numFmtId="0" fontId="0" fillId="0" borderId="0" xfId="0" applyAlignment="1">
      <alignment wrapText="1"/>
    </xf>
    <xf numFmtId="0" fontId="5" fillId="0" borderId="0" xfId="0" applyFont="1" applyAlignment="1">
      <alignment wrapText="1"/>
    </xf>
    <xf numFmtId="0" fontId="84" fillId="59" borderId="0" xfId="0" applyFont="1" applyFill="1" applyAlignment="1">
      <alignment wrapText="1"/>
    </xf>
    <xf numFmtId="0" fontId="5" fillId="59" borderId="0" xfId="0" applyFont="1" applyFill="1" applyAlignment="1">
      <alignment vertical="top" wrapText="1"/>
    </xf>
    <xf numFmtId="0" fontId="5" fillId="59" borderId="0" xfId="0" applyFont="1" applyFill="1" applyAlignment="1">
      <alignment wrapText="1"/>
    </xf>
    <xf numFmtId="0" fontId="85" fillId="0" borderId="0" xfId="0" applyFont="1" applyAlignment="1">
      <alignment wrapText="1"/>
    </xf>
    <xf numFmtId="0" fontId="85" fillId="0" borderId="0" xfId="0" applyFont="1" applyAlignment="1">
      <alignment vertical="top" wrapText="1"/>
    </xf>
    <xf numFmtId="0" fontId="87" fillId="0" borderId="0" xfId="7" applyFont="1" applyFill="1" applyBorder="1" applyAlignment="1">
      <alignment wrapText="1"/>
    </xf>
    <xf numFmtId="0" fontId="5" fillId="59" borderId="0" xfId="0" applyFont="1" applyFill="1" applyAlignment="1">
      <alignment horizontal="left" wrapText="1"/>
    </xf>
    <xf numFmtId="0" fontId="85" fillId="59" borderId="0" xfId="0" applyFont="1" applyFill="1" applyAlignment="1">
      <alignment wrapText="1"/>
    </xf>
    <xf numFmtId="0" fontId="5" fillId="58" borderId="33" xfId="0" applyFont="1" applyFill="1" applyBorder="1" applyAlignment="1">
      <alignment wrapText="1"/>
    </xf>
    <xf numFmtId="0" fontId="5" fillId="58" borderId="34" xfId="0" applyFont="1" applyFill="1" applyBorder="1" applyAlignment="1">
      <alignment wrapText="1"/>
    </xf>
    <xf numFmtId="0" fontId="5" fillId="58" borderId="35" xfId="0" applyFont="1" applyFill="1" applyBorder="1" applyAlignment="1">
      <alignment wrapText="1"/>
    </xf>
    <xf numFmtId="171" fontId="67" fillId="0" borderId="0" xfId="0" applyNumberFormat="1" applyFont="1" applyAlignment="1">
      <alignment horizontal="center"/>
    </xf>
    <xf numFmtId="0" fontId="67" fillId="0" borderId="0" xfId="0" applyFont="1" applyFill="1" applyBorder="1"/>
    <xf numFmtId="1" fontId="67" fillId="0" borderId="0" xfId="0" applyNumberFormat="1" applyFont="1" applyFill="1" applyBorder="1" applyAlignment="1">
      <alignment horizontal="center"/>
    </xf>
    <xf numFmtId="171" fontId="67" fillId="0" borderId="0" xfId="0" applyNumberFormat="1" applyFont="1"/>
    <xf numFmtId="0" fontId="67" fillId="0" borderId="0" xfId="0" applyFont="1" applyFill="1" applyBorder="1" applyAlignment="1">
      <alignment horizontal="left" indent="2"/>
    </xf>
    <xf numFmtId="175" fontId="67" fillId="0" borderId="0" xfId="0" applyNumberFormat="1" applyFont="1" applyAlignment="1">
      <alignment horizontal="center"/>
    </xf>
    <xf numFmtId="0" fontId="49" fillId="0" borderId="0" xfId="0" applyFont="1" applyFill="1" applyBorder="1"/>
    <xf numFmtId="1" fontId="49" fillId="0" borderId="0" xfId="0" applyNumberFormat="1" applyFont="1" applyFill="1" applyBorder="1" applyAlignment="1">
      <alignment horizontal="center"/>
    </xf>
    <xf numFmtId="171" fontId="67" fillId="0" borderId="27" xfId="0" applyNumberFormat="1" applyFont="1" applyBorder="1" applyAlignment="1">
      <alignment horizontal="center"/>
    </xf>
    <xf numFmtId="171" fontId="67" fillId="52" borderId="27" xfId="0" applyNumberFormat="1" applyFont="1" applyFill="1" applyBorder="1" applyAlignment="1">
      <alignment horizontal="center"/>
    </xf>
    <xf numFmtId="0" fontId="49" fillId="0" borderId="1" xfId="0" applyFont="1" applyBorder="1"/>
    <xf numFmtId="168" fontId="15" fillId="0" borderId="0" xfId="1" applyNumberFormat="1" applyFont="1" applyBorder="1"/>
    <xf numFmtId="168" fontId="15" fillId="0" borderId="27" xfId="1" applyNumberFormat="1" applyFont="1" applyBorder="1"/>
    <xf numFmtId="0" fontId="3" fillId="0" borderId="27" xfId="0" applyFont="1" applyBorder="1" applyAlignment="1">
      <alignment vertical="top" wrapText="1"/>
    </xf>
    <xf numFmtId="0" fontId="15" fillId="0" borderId="0" xfId="0" applyFont="1" applyFill="1" applyBorder="1" applyAlignment="1">
      <alignment horizontal="center"/>
    </xf>
    <xf numFmtId="0" fontId="49" fillId="3" borderId="0" xfId="0" applyFont="1" applyFill="1" applyAlignment="1">
      <alignment horizontal="center"/>
    </xf>
    <xf numFmtId="0" fontId="15" fillId="44" borderId="1" xfId="0" applyFont="1" applyFill="1" applyBorder="1" applyAlignment="1">
      <alignment horizontal="center"/>
    </xf>
    <xf numFmtId="0" fontId="15" fillId="44" borderId="0" xfId="0" applyFont="1" applyFill="1" applyBorder="1" applyAlignment="1">
      <alignment horizontal="center"/>
    </xf>
    <xf numFmtId="0" fontId="15" fillId="44" borderId="7" xfId="0" applyFont="1" applyFill="1" applyBorder="1" applyAlignment="1">
      <alignment horizontal="center"/>
    </xf>
    <xf numFmtId="0" fontId="15" fillId="44" borderId="17" xfId="0" applyFont="1" applyFill="1" applyBorder="1" applyAlignment="1">
      <alignment horizontal="center"/>
    </xf>
    <xf numFmtId="0" fontId="15" fillId="44" borderId="19" xfId="0" applyFont="1" applyFill="1" applyBorder="1" applyAlignment="1">
      <alignment horizontal="center"/>
    </xf>
    <xf numFmtId="0" fontId="15" fillId="0" borderId="0" xfId="0" applyFont="1" applyBorder="1" applyAlignment="1">
      <alignment horizontal="center" wrapText="1"/>
    </xf>
    <xf numFmtId="0" fontId="15" fillId="0" borderId="0" xfId="0" applyFont="1" applyFill="1" applyAlignment="1">
      <alignment horizontal="center"/>
    </xf>
    <xf numFmtId="0" fontId="49" fillId="0" borderId="18" xfId="0" applyFont="1" applyBorder="1" applyAlignment="1">
      <alignment horizontal="center" wrapText="1"/>
    </xf>
    <xf numFmtId="0" fontId="15" fillId="0" borderId="1" xfId="0" applyFont="1" applyBorder="1" applyAlignment="1">
      <alignment horizontal="left" wrapText="1"/>
    </xf>
    <xf numFmtId="0" fontId="0" fillId="0" borderId="0" xfId="0" applyAlignment="1">
      <alignment wrapText="1"/>
    </xf>
    <xf numFmtId="0" fontId="85" fillId="0" borderId="0" xfId="0" applyFont="1" applyFill="1" applyAlignment="1">
      <alignment vertical="top" wrapText="1"/>
    </xf>
    <xf numFmtId="0" fontId="85" fillId="0" borderId="0" xfId="0" applyFont="1" applyFill="1" applyAlignment="1">
      <alignment wrapText="1"/>
    </xf>
    <xf numFmtId="3" fontId="15" fillId="0" borderId="0" xfId="0" quotePrefix="1" applyNumberFormat="1" applyFont="1" applyFill="1" applyBorder="1" applyAlignment="1">
      <alignment horizontal="center" vertical="top" wrapText="1"/>
    </xf>
    <xf numFmtId="1" fontId="15" fillId="0" borderId="0" xfId="0" quotePrefix="1" applyNumberFormat="1" applyFont="1" applyFill="1" applyBorder="1" applyAlignment="1">
      <alignment horizontal="center" wrapText="1"/>
    </xf>
    <xf numFmtId="166" fontId="15" fillId="0" borderId="0" xfId="0" quotePrefix="1" applyNumberFormat="1" applyFont="1" applyFill="1" applyBorder="1" applyAlignment="1">
      <alignment horizontal="center" vertical="top" wrapText="1"/>
    </xf>
    <xf numFmtId="3" fontId="15" fillId="0" borderId="19" xfId="0" quotePrefix="1" applyNumberFormat="1" applyFont="1" applyFill="1" applyBorder="1" applyAlignment="1">
      <alignment horizontal="center"/>
    </xf>
    <xf numFmtId="3" fontId="15" fillId="0" borderId="7" xfId="0" quotePrefix="1" applyNumberFormat="1" applyFont="1" applyFill="1" applyBorder="1" applyAlignment="1">
      <alignment horizontal="center"/>
    </xf>
    <xf numFmtId="166" fontId="15" fillId="0" borderId="7" xfId="0" applyNumberFormat="1" applyFont="1" applyFill="1" applyBorder="1" applyAlignment="1">
      <alignment horizontal="center"/>
    </xf>
    <xf numFmtId="3" fontId="15" fillId="44" borderId="17" xfId="0" applyNumberFormat="1" applyFont="1" applyFill="1" applyBorder="1" applyAlignment="1">
      <alignment horizontal="center"/>
    </xf>
    <xf numFmtId="3" fontId="15" fillId="0" borderId="18" xfId="0" quotePrefix="1" applyNumberFormat="1" applyFont="1" applyBorder="1" applyAlignment="1">
      <alignment horizontal="center"/>
    </xf>
    <xf numFmtId="3" fontId="15" fillId="0" borderId="17" xfId="0" quotePrefix="1" applyNumberFormat="1" applyFont="1" applyBorder="1" applyAlignment="1">
      <alignment horizontal="center"/>
    </xf>
    <xf numFmtId="3" fontId="15" fillId="0" borderId="17" xfId="0" quotePrefix="1" applyNumberFormat="1" applyFont="1" applyFill="1" applyBorder="1" applyAlignment="1">
      <alignment horizontal="center"/>
    </xf>
    <xf numFmtId="3" fontId="15" fillId="0" borderId="1" xfId="0" quotePrefix="1" applyNumberFormat="1" applyFont="1" applyBorder="1" applyAlignment="1">
      <alignment horizontal="center"/>
    </xf>
    <xf numFmtId="0" fontId="15" fillId="0" borderId="17" xfId="0" applyFont="1" applyBorder="1" applyAlignment="1">
      <alignment horizontal="left"/>
    </xf>
    <xf numFmtId="3" fontId="15" fillId="0" borderId="7" xfId="0" applyNumberFormat="1" applyFont="1" applyFill="1" applyBorder="1" applyAlignment="1">
      <alignment horizontal="center"/>
    </xf>
    <xf numFmtId="0" fontId="15" fillId="0" borderId="6" xfId="0" applyFont="1" applyFill="1" applyBorder="1" applyAlignment="1">
      <alignment horizontal="left" wrapText="1"/>
    </xf>
    <xf numFmtId="0" fontId="15" fillId="0" borderId="5" xfId="0" applyFont="1" applyFill="1" applyBorder="1" applyAlignment="1">
      <alignment horizontal="left" wrapText="1"/>
    </xf>
    <xf numFmtId="166" fontId="15" fillId="0" borderId="17" xfId="0" quotePrefix="1" applyNumberFormat="1" applyFont="1" applyFill="1" applyBorder="1" applyAlignment="1">
      <alignment horizontal="center"/>
    </xf>
    <xf numFmtId="0" fontId="15" fillId="0" borderId="1" xfId="0" applyFont="1" applyFill="1" applyBorder="1" applyAlignment="1">
      <alignment horizontal="left"/>
    </xf>
    <xf numFmtId="0" fontId="15" fillId="0" borderId="0" xfId="0" applyFont="1" applyFill="1" applyBorder="1" applyAlignment="1">
      <alignment horizontal="left"/>
    </xf>
    <xf numFmtId="166" fontId="15" fillId="0" borderId="5" xfId="0" quotePrefix="1" applyNumberFormat="1" applyFont="1" applyFill="1" applyBorder="1" applyAlignment="1">
      <alignment horizontal="center"/>
    </xf>
    <xf numFmtId="17" fontId="49" fillId="3" borderId="17" xfId="0" applyNumberFormat="1" applyFont="1" applyFill="1" applyBorder="1" applyAlignment="1">
      <alignment horizontal="left" vertical="top" wrapText="1"/>
    </xf>
    <xf numFmtId="17" fontId="49" fillId="3" borderId="18" xfId="0" applyNumberFormat="1" applyFont="1" applyFill="1" applyBorder="1" applyAlignment="1">
      <alignment horizontal="left" wrapText="1"/>
    </xf>
    <xf numFmtId="17" fontId="49" fillId="3" borderId="17" xfId="0" applyNumberFormat="1" applyFont="1" applyFill="1" applyBorder="1" applyAlignment="1">
      <alignment horizontal="left" wrapText="1"/>
    </xf>
    <xf numFmtId="17" fontId="49" fillId="3" borderId="19" xfId="0" applyNumberFormat="1" applyFont="1" applyFill="1" applyBorder="1" applyAlignment="1">
      <alignment horizontal="left" wrapText="1"/>
    </xf>
    <xf numFmtId="0" fontId="0" fillId="0" borderId="17" xfId="0" applyBorder="1" applyAlignment="1">
      <alignment horizontal="center"/>
    </xf>
    <xf numFmtId="4" fontId="15" fillId="0" borderId="19" xfId="0" quotePrefix="1" applyNumberFormat="1" applyFont="1" applyBorder="1" applyAlignment="1">
      <alignment horizontal="center"/>
    </xf>
    <xf numFmtId="4" fontId="15" fillId="0" borderId="7" xfId="0" quotePrefix="1" applyNumberFormat="1" applyFont="1" applyBorder="1" applyAlignment="1">
      <alignment horizontal="center"/>
    </xf>
    <xf numFmtId="4" fontId="15" fillId="0" borderId="21" xfId="0" quotePrefix="1" applyNumberFormat="1" applyFont="1" applyBorder="1" applyAlignment="1">
      <alignment horizontal="center"/>
    </xf>
    <xf numFmtId="3" fontId="15" fillId="0" borderId="1" xfId="0" applyNumberFormat="1" applyFont="1" applyFill="1" applyBorder="1" applyAlignment="1">
      <alignment horizontal="center"/>
    </xf>
    <xf numFmtId="167" fontId="15" fillId="0" borderId="6" xfId="2" applyNumberFormat="1" applyFont="1" applyFill="1" applyBorder="1" applyAlignment="1">
      <alignment horizontal="center"/>
    </xf>
    <xf numFmtId="167" fontId="15" fillId="0" borderId="5" xfId="2" applyNumberFormat="1" applyFont="1" applyFill="1" applyBorder="1" applyAlignment="1">
      <alignment horizontal="center"/>
    </xf>
    <xf numFmtId="167" fontId="15" fillId="0" borderId="21" xfId="2" applyNumberFormat="1" applyFont="1" applyFill="1" applyBorder="1" applyAlignment="1">
      <alignment horizontal="center"/>
    </xf>
    <xf numFmtId="3" fontId="15" fillId="0" borderId="19" xfId="0" applyNumberFormat="1" applyFont="1" applyFill="1" applyBorder="1" applyAlignment="1">
      <alignment horizontal="center"/>
    </xf>
    <xf numFmtId="3" fontId="15" fillId="0" borderId="24" xfId="0" applyNumberFormat="1" applyFont="1" applyFill="1" applyBorder="1" applyAlignment="1">
      <alignment horizontal="center"/>
    </xf>
    <xf numFmtId="0" fontId="15" fillId="44" borderId="27" xfId="0" applyFont="1" applyFill="1" applyBorder="1" applyAlignment="1"/>
    <xf numFmtId="0" fontId="15" fillId="44" borderId="28" xfId="0" applyFont="1" applyFill="1" applyBorder="1" applyAlignment="1"/>
    <xf numFmtId="0" fontId="15" fillId="41" borderId="6" xfId="0" applyFont="1" applyFill="1" applyBorder="1" applyAlignment="1">
      <alignment horizontal="center" wrapText="1"/>
    </xf>
    <xf numFmtId="3" fontId="15" fillId="44" borderId="0" xfId="0" quotePrefix="1" applyNumberFormat="1" applyFont="1" applyFill="1" applyBorder="1" applyAlignment="1">
      <alignment horizontal="center" wrapText="1"/>
    </xf>
    <xf numFmtId="1" fontId="15" fillId="44" borderId="0" xfId="0" quotePrefix="1" applyNumberFormat="1" applyFont="1" applyFill="1" applyBorder="1" applyAlignment="1">
      <alignment horizontal="center" wrapText="1"/>
    </xf>
    <xf numFmtId="3" fontId="50" fillId="44" borderId="1" xfId="0" applyNumberFormat="1" applyFont="1" applyFill="1" applyBorder="1" applyAlignment="1">
      <alignment horizontal="center" wrapText="1"/>
    </xf>
    <xf numFmtId="3" fontId="50" fillId="44" borderId="0" xfId="0" applyNumberFormat="1" applyFont="1" applyFill="1" applyBorder="1" applyAlignment="1">
      <alignment horizontal="center" wrapText="1"/>
    </xf>
    <xf numFmtId="1" fontId="50" fillId="44" borderId="6" xfId="0" applyNumberFormat="1" applyFont="1" applyFill="1" applyBorder="1" applyAlignment="1">
      <alignment horizontal="center"/>
    </xf>
    <xf numFmtId="0" fontId="49" fillId="0" borderId="18" xfId="0" applyFont="1" applyFill="1" applyBorder="1" applyAlignment="1">
      <alignment horizontal="center" vertical="top" wrapText="1"/>
    </xf>
    <xf numFmtId="0" fontId="49" fillId="0" borderId="17" xfId="0" applyFont="1" applyFill="1" applyBorder="1" applyAlignment="1">
      <alignment horizontal="center" vertical="top" wrapText="1"/>
    </xf>
    <xf numFmtId="1" fontId="15" fillId="0" borderId="17" xfId="0" applyNumberFormat="1" applyFont="1" applyFill="1" applyBorder="1" applyAlignment="1">
      <alignment horizontal="center" wrapText="1"/>
    </xf>
    <xf numFmtId="1" fontId="15" fillId="0" borderId="17" xfId="0" quotePrefix="1" applyNumberFormat="1" applyFont="1" applyFill="1" applyBorder="1" applyAlignment="1">
      <alignment horizontal="center" wrapText="1"/>
    </xf>
    <xf numFmtId="1" fontId="49" fillId="0" borderId="0" xfId="0" applyNumberFormat="1" applyFont="1" applyFill="1" applyBorder="1" applyAlignment="1">
      <alignment horizontal="center" wrapText="1"/>
    </xf>
    <xf numFmtId="3" fontId="15" fillId="0" borderId="1" xfId="0" quotePrefix="1" applyNumberFormat="1" applyFont="1" applyFill="1" applyBorder="1" applyAlignment="1">
      <alignment horizontal="center" vertical="top" wrapText="1"/>
    </xf>
    <xf numFmtId="166" fontId="15" fillId="0" borderId="1" xfId="0" quotePrefix="1" applyNumberFormat="1" applyFont="1" applyFill="1" applyBorder="1" applyAlignment="1">
      <alignment horizontal="center" vertical="top" wrapText="1"/>
    </xf>
    <xf numFmtId="3" fontId="15" fillId="0" borderId="6" xfId="0" quotePrefix="1" applyNumberFormat="1" applyFont="1" applyFill="1" applyBorder="1" applyAlignment="1">
      <alignment horizontal="center" vertical="top" wrapText="1"/>
    </xf>
    <xf numFmtId="3" fontId="15" fillId="0" borderId="5" xfId="0" quotePrefix="1" applyNumberFormat="1" applyFont="1" applyFill="1" applyBorder="1" applyAlignment="1">
      <alignment horizontal="center" vertical="top" wrapText="1"/>
    </xf>
    <xf numFmtId="166" fontId="15" fillId="0" borderId="5" xfId="0" applyNumberFormat="1" applyFont="1" applyFill="1" applyBorder="1" applyAlignment="1">
      <alignment horizontal="center"/>
    </xf>
    <xf numFmtId="166" fontId="21" fillId="0" borderId="5" xfId="37" applyNumberFormat="1" applyFont="1" applyFill="1" applyBorder="1" applyAlignment="1">
      <alignment horizontal="center"/>
    </xf>
    <xf numFmtId="0" fontId="15" fillId="0" borderId="18" xfId="0" applyFont="1" applyFill="1" applyBorder="1" applyAlignment="1">
      <alignment horizontal="center"/>
    </xf>
    <xf numFmtId="3" fontId="15" fillId="44" borderId="17" xfId="0" quotePrefix="1" applyNumberFormat="1" applyFont="1" applyFill="1" applyBorder="1" applyAlignment="1">
      <alignment horizontal="center"/>
    </xf>
    <xf numFmtId="0" fontId="15" fillId="41" borderId="5" xfId="0" applyFont="1" applyFill="1" applyBorder="1" applyAlignment="1">
      <alignment horizontal="center" wrapText="1"/>
    </xf>
    <xf numFmtId="0" fontId="15" fillId="41" borderId="17" xfId="0" applyFont="1" applyFill="1" applyBorder="1" applyAlignment="1"/>
    <xf numFmtId="164" fontId="15" fillId="0" borderId="17" xfId="0" applyNumberFormat="1" applyFont="1" applyBorder="1" applyAlignment="1">
      <alignment horizontal="center"/>
    </xf>
    <xf numFmtId="0" fontId="15" fillId="0" borderId="17" xfId="0" applyFont="1" applyBorder="1" applyAlignment="1">
      <alignment horizontal="center"/>
    </xf>
    <xf numFmtId="0" fontId="49" fillId="41" borderId="17" xfId="0" applyFont="1" applyFill="1" applyBorder="1" applyAlignment="1">
      <alignment horizontal="center"/>
    </xf>
    <xf numFmtId="164" fontId="15" fillId="44" borderId="18" xfId="0" applyNumberFormat="1" applyFont="1" applyFill="1" applyBorder="1" applyAlignment="1">
      <alignment horizontal="center"/>
    </xf>
    <xf numFmtId="164" fontId="15" fillId="44" borderId="17" xfId="0" applyNumberFormat="1" applyFont="1" applyFill="1" applyBorder="1" applyAlignment="1">
      <alignment horizontal="center"/>
    </xf>
    <xf numFmtId="0" fontId="15" fillId="41" borderId="37" xfId="0" applyFont="1" applyFill="1" applyBorder="1" applyAlignment="1"/>
    <xf numFmtId="0" fontId="15" fillId="0" borderId="18" xfId="0" applyFont="1" applyFill="1" applyBorder="1"/>
    <xf numFmtId="0" fontId="15" fillId="0" borderId="17" xfId="0" applyFont="1" applyFill="1" applyBorder="1"/>
    <xf numFmtId="0" fontId="50" fillId="0" borderId="1" xfId="0" applyFont="1" applyFill="1" applyBorder="1"/>
    <xf numFmtId="0" fontId="50" fillId="0" borderId="0" xfId="0" applyFont="1" applyFill="1" applyBorder="1"/>
    <xf numFmtId="0" fontId="50" fillId="0" borderId="0" xfId="0" applyFont="1" applyFill="1" applyBorder="1" applyAlignment="1">
      <alignment horizontal="center"/>
    </xf>
    <xf numFmtId="0" fontId="50" fillId="0" borderId="6" xfId="0" applyFont="1" applyFill="1" applyBorder="1"/>
    <xf numFmtId="0" fontId="50" fillId="0" borderId="5" xfId="0" applyFont="1" applyFill="1" applyBorder="1"/>
    <xf numFmtId="0" fontId="50" fillId="0" borderId="5" xfId="0" applyFont="1" applyFill="1" applyBorder="1" applyAlignment="1">
      <alignment horizontal="center"/>
    </xf>
    <xf numFmtId="0" fontId="50" fillId="44" borderId="1" xfId="0" applyFont="1" applyFill="1" applyBorder="1" applyAlignment="1">
      <alignment horizontal="center"/>
    </xf>
    <xf numFmtId="0" fontId="50" fillId="44" borderId="6" xfId="0" applyFont="1" applyFill="1" applyBorder="1" applyAlignment="1">
      <alignment horizontal="center"/>
    </xf>
    <xf numFmtId="164" fontId="56" fillId="0" borderId="18" xfId="0" applyNumberFormat="1" applyFont="1" applyFill="1" applyBorder="1" applyAlignment="1">
      <alignment horizontal="center"/>
    </xf>
    <xf numFmtId="164" fontId="15" fillId="0" borderId="1" xfId="0" applyNumberFormat="1" applyFont="1" applyFill="1" applyBorder="1" applyAlignment="1">
      <alignment horizontal="center"/>
    </xf>
    <xf numFmtId="164" fontId="15" fillId="0" borderId="0" xfId="0" applyNumberFormat="1" applyFont="1" applyFill="1" applyBorder="1" applyAlignment="1">
      <alignment horizontal="center"/>
    </xf>
    <xf numFmtId="164" fontId="15" fillId="0" borderId="6" xfId="1" applyNumberFormat="1" applyFont="1" applyFill="1" applyBorder="1" applyAlignment="1">
      <alignment horizontal="center"/>
    </xf>
    <xf numFmtId="164" fontId="15" fillId="0" borderId="5" xfId="1" applyNumberFormat="1" applyFont="1" applyFill="1" applyBorder="1" applyAlignment="1">
      <alignment horizontal="center"/>
    </xf>
    <xf numFmtId="168" fontId="15" fillId="0" borderId="5" xfId="2" applyNumberFormat="1" applyFont="1" applyFill="1" applyBorder="1" applyAlignment="1">
      <alignment horizontal="center"/>
    </xf>
    <xf numFmtId="0" fontId="0" fillId="44" borderId="1" xfId="0" applyNumberFormat="1" applyFill="1" applyBorder="1" applyAlignment="1">
      <alignment horizontal="center"/>
    </xf>
    <xf numFmtId="0" fontId="0" fillId="41" borderId="21" xfId="0" applyFill="1" applyBorder="1" applyAlignment="1">
      <alignment horizontal="center"/>
    </xf>
    <xf numFmtId="164" fontId="15" fillId="0" borderId="1" xfId="0" applyNumberFormat="1" applyFont="1" applyFill="1" applyBorder="1" applyAlignment="1">
      <alignment horizontal="right" vertical="top" wrapText="1"/>
    </xf>
    <xf numFmtId="164" fontId="50" fillId="0" borderId="5" xfId="0" applyNumberFormat="1" applyFont="1" applyFill="1" applyBorder="1" applyAlignment="1">
      <alignment horizontal="center" vertical="top" wrapText="1"/>
    </xf>
    <xf numFmtId="0" fontId="59" fillId="0" borderId="0" xfId="0" applyFont="1" applyBorder="1" applyAlignment="1">
      <alignment horizontal="center" vertical="top" wrapText="1"/>
    </xf>
    <xf numFmtId="0" fontId="50" fillId="0" borderId="0" xfId="0" applyFont="1" applyBorder="1" applyAlignment="1">
      <alignment horizontal="center" vertical="top" wrapText="1"/>
    </xf>
    <xf numFmtId="3" fontId="50" fillId="0" borderId="0" xfId="0" quotePrefix="1" applyNumberFormat="1" applyFont="1" applyBorder="1" applyAlignment="1">
      <alignment horizontal="center" vertical="top" wrapText="1"/>
    </xf>
    <xf numFmtId="3" fontId="50" fillId="0" borderId="5" xfId="0" quotePrefix="1" applyNumberFormat="1" applyFont="1" applyBorder="1" applyAlignment="1">
      <alignment horizontal="center" vertical="top" wrapText="1"/>
    </xf>
    <xf numFmtId="164" fontId="15" fillId="0" borderId="0" xfId="0" applyNumberFormat="1" applyFont="1" applyFill="1" applyBorder="1" applyAlignment="1">
      <alignment horizontal="right" vertical="top" wrapText="1"/>
    </xf>
    <xf numFmtId="164" fontId="15" fillId="0" borderId="0" xfId="0" quotePrefix="1" applyNumberFormat="1" applyFont="1" applyFill="1" applyBorder="1" applyAlignment="1">
      <alignment horizontal="right" vertical="top" wrapText="1"/>
    </xf>
    <xf numFmtId="1" fontId="50" fillId="0" borderId="0" xfId="0" quotePrefix="1" applyNumberFormat="1" applyFont="1" applyFill="1" applyBorder="1" applyAlignment="1">
      <alignment horizontal="center" vertical="top" wrapText="1"/>
    </xf>
    <xf numFmtId="164" fontId="15" fillId="0" borderId="0" xfId="0" applyNumberFormat="1" applyFont="1" applyFill="1" applyBorder="1" applyAlignment="1">
      <alignment horizontal="center" vertical="top" wrapText="1"/>
    </xf>
    <xf numFmtId="164" fontId="15" fillId="0" borderId="1" xfId="0" quotePrefix="1" applyNumberFormat="1" applyFont="1" applyFill="1" applyBorder="1" applyAlignment="1">
      <alignment horizontal="right" vertical="top" wrapText="1"/>
    </xf>
    <xf numFmtId="164" fontId="50" fillId="0" borderId="21" xfId="0" applyNumberFormat="1" applyFont="1" applyFill="1" applyBorder="1" applyAlignment="1">
      <alignment horizontal="center" vertical="top" wrapText="1"/>
    </xf>
    <xf numFmtId="0" fontId="3" fillId="0" borderId="0" xfId="0" applyFont="1" applyBorder="1" applyAlignment="1">
      <alignment vertical="top" wrapText="1"/>
    </xf>
    <xf numFmtId="0" fontId="15" fillId="0" borderId="18" xfId="0" applyFont="1" applyBorder="1" applyAlignment="1">
      <alignment horizontal="center"/>
    </xf>
    <xf numFmtId="164" fontId="15" fillId="56" borderId="0" xfId="0" applyNumberFormat="1" applyFont="1" applyFill="1" applyBorder="1" applyAlignment="1">
      <alignment horizontal="center"/>
    </xf>
    <xf numFmtId="164" fontId="15" fillId="0" borderId="0" xfId="0" applyNumberFormat="1" applyFont="1" applyBorder="1" applyAlignment="1">
      <alignment horizontal="center" vertical="top" wrapText="1"/>
    </xf>
    <xf numFmtId="164" fontId="15" fillId="0" borderId="1" xfId="0" applyNumberFormat="1" applyFont="1" applyBorder="1" applyAlignment="1">
      <alignment horizontal="center" vertical="top" wrapText="1"/>
    </xf>
    <xf numFmtId="0" fontId="15" fillId="0" borderId="1" xfId="0" applyFont="1" applyFill="1" applyBorder="1"/>
    <xf numFmtId="1" fontId="15" fillId="0" borderId="1" xfId="0" applyNumberFormat="1" applyFont="1" applyFill="1" applyBorder="1" applyAlignment="1">
      <alignment horizontal="center"/>
    </xf>
    <xf numFmtId="164" fontId="50" fillId="0" borderId="1" xfId="0" applyNumberFormat="1" applyFont="1" applyFill="1" applyBorder="1" applyAlignment="1">
      <alignment horizontal="center"/>
    </xf>
    <xf numFmtId="0" fontId="15" fillId="0" borderId="6" xfId="0" applyFont="1" applyFill="1" applyBorder="1"/>
    <xf numFmtId="168" fontId="15" fillId="0" borderId="5" xfId="0" applyNumberFormat="1" applyFont="1" applyFill="1" applyBorder="1" applyAlignment="1">
      <alignment horizontal="center"/>
    </xf>
    <xf numFmtId="0" fontId="49" fillId="0" borderId="18" xfId="0" applyFont="1" applyFill="1" applyBorder="1" applyAlignment="1">
      <alignment horizontal="center"/>
    </xf>
    <xf numFmtId="0" fontId="49" fillId="0" borderId="17" xfId="0" applyFont="1" applyFill="1" applyBorder="1" applyAlignment="1">
      <alignment horizontal="center"/>
    </xf>
    <xf numFmtId="164" fontId="15" fillId="0" borderId="17" xfId="0" applyNumberFormat="1" applyFont="1" applyFill="1" applyBorder="1" applyAlignment="1">
      <alignment horizontal="center"/>
    </xf>
    <xf numFmtId="0" fontId="3" fillId="47" borderId="18" xfId="0" applyFont="1" applyFill="1" applyBorder="1" applyAlignment="1">
      <alignment vertical="top"/>
    </xf>
    <xf numFmtId="0" fontId="0" fillId="47" borderId="1" xfId="0" applyFill="1" applyBorder="1" applyAlignment="1">
      <alignment vertical="top"/>
    </xf>
    <xf numFmtId="0" fontId="3" fillId="47" borderId="1" xfId="0" applyFont="1" applyFill="1" applyBorder="1" applyAlignment="1">
      <alignment vertical="top"/>
    </xf>
    <xf numFmtId="0" fontId="0" fillId="0" borderId="0" xfId="0" applyAlignment="1">
      <alignment vertical="top"/>
    </xf>
    <xf numFmtId="0" fontId="0" fillId="47" borderId="17" xfId="0" applyFill="1" applyBorder="1" applyAlignment="1">
      <alignment vertical="top"/>
    </xf>
    <xf numFmtId="0" fontId="0" fillId="47" borderId="19" xfId="0" applyFill="1" applyBorder="1" applyAlignment="1">
      <alignment vertical="top"/>
    </xf>
    <xf numFmtId="0" fontId="0" fillId="47" borderId="0" xfId="0" applyFill="1" applyBorder="1" applyAlignment="1">
      <alignment vertical="top"/>
    </xf>
    <xf numFmtId="0" fontId="0" fillId="47" borderId="7" xfId="0" applyFill="1" applyBorder="1" applyAlignment="1">
      <alignment vertical="top"/>
    </xf>
    <xf numFmtId="0" fontId="0" fillId="47" borderId="5" xfId="0" applyFill="1" applyBorder="1" applyAlignment="1">
      <alignment vertical="top"/>
    </xf>
    <xf numFmtId="0" fontId="0" fillId="47" borderId="21" xfId="0" applyFill="1" applyBorder="1" applyAlignment="1">
      <alignment vertical="top"/>
    </xf>
    <xf numFmtId="0" fontId="68" fillId="47" borderId="6" xfId="0" applyFont="1" applyFill="1" applyBorder="1" applyAlignment="1">
      <alignment vertical="top"/>
    </xf>
    <xf numFmtId="0" fontId="68" fillId="47" borderId="1" xfId="0" applyFont="1" applyFill="1" applyBorder="1" applyAlignment="1">
      <alignment vertical="top"/>
    </xf>
    <xf numFmtId="0" fontId="21" fillId="0" borderId="0" xfId="0" applyNumberFormat="1" applyFont="1" applyFill="1" applyAlignment="1">
      <alignment vertical="top" wrapText="1"/>
    </xf>
    <xf numFmtId="164" fontId="15" fillId="0" borderId="0" xfId="0" applyNumberFormat="1" applyFont="1" applyFill="1" applyBorder="1" applyAlignment="1">
      <alignment horizontal="center" wrapText="1"/>
    </xf>
    <xf numFmtId="3" fontId="15" fillId="0" borderId="5" xfId="0" applyNumberFormat="1" applyFont="1" applyFill="1" applyBorder="1" applyAlignment="1">
      <alignment horizontal="center" wrapText="1"/>
    </xf>
    <xf numFmtId="166" fontId="15" fillId="0" borderId="21" xfId="0" applyNumberFormat="1" applyFont="1" applyFill="1" applyBorder="1" applyAlignment="1">
      <alignment horizontal="center" wrapText="1"/>
    </xf>
    <xf numFmtId="166" fontId="15" fillId="0" borderId="5" xfId="0" applyNumberFormat="1" applyFont="1" applyFill="1" applyBorder="1" applyAlignment="1">
      <alignment horizontal="center" wrapText="1"/>
    </xf>
    <xf numFmtId="0" fontId="15" fillId="0" borderId="17" xfId="0" applyFont="1" applyBorder="1" applyAlignment="1">
      <alignment horizontal="center" wrapText="1"/>
    </xf>
    <xf numFmtId="0" fontId="15" fillId="0" borderId="18" xfId="0" applyFont="1" applyFill="1" applyBorder="1" applyAlignment="1">
      <alignment horizontal="center" wrapText="1"/>
    </xf>
    <xf numFmtId="0" fontId="15" fillId="0" borderId="17" xfId="0" applyFont="1" applyFill="1" applyBorder="1" applyAlignment="1">
      <alignment horizontal="center" wrapText="1"/>
    </xf>
    <xf numFmtId="3" fontId="15" fillId="0" borderId="7" xfId="0" applyNumberFormat="1" applyFont="1" applyFill="1" applyBorder="1" applyAlignment="1">
      <alignment horizontal="center" wrapText="1"/>
    </xf>
    <xf numFmtId="3" fontId="15" fillId="0" borderId="5" xfId="0" applyNumberFormat="1" applyFont="1" applyFill="1" applyBorder="1" applyAlignment="1">
      <alignment horizontal="center" vertical="top" wrapText="1"/>
    </xf>
    <xf numFmtId="3" fontId="15" fillId="0" borderId="21" xfId="0" applyNumberFormat="1" applyFont="1" applyFill="1" applyBorder="1" applyAlignment="1">
      <alignment horizontal="center"/>
    </xf>
    <xf numFmtId="166" fontId="15" fillId="44" borderId="18" xfId="0" applyNumberFormat="1" applyFont="1" applyFill="1" applyBorder="1" applyAlignment="1">
      <alignment horizontal="center" wrapText="1"/>
    </xf>
    <xf numFmtId="166" fontId="15" fillId="44" borderId="1" xfId="0" applyNumberFormat="1" applyFont="1" applyFill="1" applyBorder="1" applyAlignment="1">
      <alignment horizontal="center" wrapText="1"/>
    </xf>
    <xf numFmtId="164" fontId="15" fillId="44" borderId="1" xfId="0" applyNumberFormat="1" applyFont="1" applyFill="1" applyBorder="1" applyAlignment="1">
      <alignment horizontal="center" wrapText="1"/>
    </xf>
    <xf numFmtId="166" fontId="15" fillId="44" borderId="6" xfId="0" applyNumberFormat="1" applyFont="1" applyFill="1" applyBorder="1" applyAlignment="1">
      <alignment horizontal="center" wrapText="1"/>
    </xf>
    <xf numFmtId="0" fontId="50" fillId="0" borderId="17" xfId="0" applyFont="1" applyBorder="1" applyAlignment="1">
      <alignment horizontal="center" wrapText="1"/>
    </xf>
    <xf numFmtId="0" fontId="50" fillId="0" borderId="18" xfId="0" applyFont="1" applyBorder="1" applyAlignment="1">
      <alignment horizontal="center" wrapText="1"/>
    </xf>
    <xf numFmtId="166" fontId="50" fillId="0" borderId="17" xfId="0" quotePrefix="1" applyNumberFormat="1" applyFont="1" applyBorder="1" applyAlignment="1">
      <alignment horizontal="center" wrapText="1"/>
    </xf>
    <xf numFmtId="0" fontId="50" fillId="0" borderId="1" xfId="0" applyFont="1" applyBorder="1" applyAlignment="1">
      <alignment horizontal="center" wrapText="1"/>
    </xf>
    <xf numFmtId="166" fontId="50" fillId="0" borderId="17" xfId="0" quotePrefix="1" applyNumberFormat="1" applyFont="1" applyFill="1" applyBorder="1" applyAlignment="1">
      <alignment horizontal="center" wrapText="1"/>
    </xf>
    <xf numFmtId="166" fontId="50" fillId="52" borderId="17" xfId="0" quotePrefix="1" applyNumberFormat="1" applyFont="1" applyFill="1" applyBorder="1" applyAlignment="1">
      <alignment horizontal="center" wrapText="1"/>
    </xf>
    <xf numFmtId="0" fontId="88" fillId="0" borderId="0" xfId="0" applyFont="1" applyAlignment="1">
      <alignment vertical="center" wrapText="1"/>
    </xf>
    <xf numFmtId="0" fontId="0" fillId="0" borderId="0" xfId="0" applyFont="1" applyAlignment="1">
      <alignment vertical="center" wrapText="1"/>
    </xf>
    <xf numFmtId="2" fontId="15" fillId="0" borderId="0" xfId="0" applyNumberFormat="1" applyFont="1" applyFill="1" applyBorder="1" applyAlignment="1">
      <alignment horizontal="center"/>
    </xf>
    <xf numFmtId="2" fontId="15" fillId="0" borderId="5" xfId="0" applyNumberFormat="1" applyFont="1" applyFill="1" applyBorder="1" applyAlignment="1">
      <alignment horizontal="center"/>
    </xf>
    <xf numFmtId="0" fontId="15" fillId="41" borderId="19" xfId="0" applyFont="1" applyFill="1" applyBorder="1" applyAlignment="1"/>
    <xf numFmtId="0" fontId="15" fillId="41" borderId="21" xfId="0" applyFont="1" applyFill="1" applyBorder="1" applyAlignment="1">
      <alignment horizontal="center" wrapText="1"/>
    </xf>
    <xf numFmtId="166" fontId="21" fillId="44" borderId="33" xfId="0" quotePrefix="1" applyNumberFormat="1" applyFont="1" applyFill="1" applyBorder="1" applyAlignment="1">
      <alignment horizontal="center"/>
    </xf>
    <xf numFmtId="168" fontId="15" fillId="44" borderId="1" xfId="0" applyNumberFormat="1" applyFont="1" applyFill="1" applyBorder="1" applyAlignment="1">
      <alignment horizontal="center"/>
    </xf>
    <xf numFmtId="168" fontId="15" fillId="44" borderId="0" xfId="0" applyNumberFormat="1" applyFont="1" applyFill="1" applyBorder="1" applyAlignment="1">
      <alignment horizontal="center"/>
    </xf>
    <xf numFmtId="9" fontId="0" fillId="0" borderId="0" xfId="2" applyFont="1"/>
    <xf numFmtId="3" fontId="15" fillId="44" borderId="27" xfId="0" applyNumberFormat="1" applyFont="1" applyFill="1" applyBorder="1" applyAlignment="1">
      <alignment horizontal="center" wrapText="1"/>
    </xf>
    <xf numFmtId="0" fontId="49" fillId="0" borderId="27" xfId="0" applyFont="1" applyBorder="1" applyAlignment="1">
      <alignment horizontal="center" wrapText="1"/>
    </xf>
    <xf numFmtId="3" fontId="15" fillId="0" borderId="27" xfId="0" quotePrefix="1" applyNumberFormat="1" applyFont="1" applyBorder="1" applyAlignment="1">
      <alignment horizontal="center" wrapText="1"/>
    </xf>
    <xf numFmtId="1" fontId="15" fillId="0" borderId="27" xfId="0" quotePrefix="1" applyNumberFormat="1" applyFont="1" applyFill="1" applyBorder="1" applyAlignment="1">
      <alignment horizontal="center" wrapText="1"/>
    </xf>
    <xf numFmtId="3" fontId="15" fillId="44" borderId="1" xfId="0" quotePrefix="1" applyNumberFormat="1" applyFont="1" applyFill="1" applyBorder="1" applyAlignment="1">
      <alignment horizontal="center" wrapText="1"/>
    </xf>
    <xf numFmtId="1" fontId="15" fillId="44" borderId="1" xfId="0" quotePrefix="1" applyNumberFormat="1" applyFont="1" applyFill="1" applyBorder="1" applyAlignment="1">
      <alignment horizontal="center" wrapText="1"/>
    </xf>
    <xf numFmtId="3" fontId="15" fillId="44" borderId="6" xfId="0" applyNumberFormat="1" applyFont="1" applyFill="1" applyBorder="1" applyAlignment="1">
      <alignment horizontal="center" wrapText="1"/>
    </xf>
    <xf numFmtId="3" fontId="15" fillId="44" borderId="5" xfId="0" applyNumberFormat="1" applyFont="1" applyFill="1" applyBorder="1" applyAlignment="1">
      <alignment horizontal="center" wrapText="1"/>
    </xf>
    <xf numFmtId="0" fontId="0" fillId="44" borderId="27" xfId="0" applyFill="1" applyBorder="1"/>
    <xf numFmtId="3" fontId="15" fillId="44" borderId="19" xfId="0" applyNumberFormat="1" applyFont="1" applyFill="1" applyBorder="1" applyAlignment="1">
      <alignment horizontal="center" wrapText="1"/>
    </xf>
    <xf numFmtId="166" fontId="15" fillId="44" borderId="27" xfId="0" applyNumberFormat="1" applyFont="1" applyFill="1" applyBorder="1" applyAlignment="1">
      <alignment horizontal="center" wrapText="1"/>
    </xf>
    <xf numFmtId="3" fontId="15" fillId="44" borderId="19" xfId="0" quotePrefix="1" applyNumberFormat="1" applyFont="1" applyFill="1" applyBorder="1" applyAlignment="1">
      <alignment horizontal="center"/>
    </xf>
    <xf numFmtId="3" fontId="15" fillId="44" borderId="7" xfId="0" quotePrefix="1" applyNumberFormat="1" applyFont="1" applyFill="1" applyBorder="1" applyAlignment="1">
      <alignment horizontal="center"/>
    </xf>
    <xf numFmtId="168" fontId="15" fillId="44" borderId="7" xfId="0" applyNumberFormat="1" applyFont="1" applyFill="1" applyBorder="1" applyAlignment="1">
      <alignment horizontal="center"/>
    </xf>
    <xf numFmtId="168" fontId="15" fillId="44" borderId="21" xfId="0" applyNumberFormat="1" applyFont="1" applyFill="1" applyBorder="1" applyAlignment="1">
      <alignment horizontal="center"/>
    </xf>
    <xf numFmtId="164" fontId="15" fillId="44" borderId="19" xfId="0" applyNumberFormat="1" applyFont="1" applyFill="1" applyBorder="1" applyAlignment="1">
      <alignment horizontal="center"/>
    </xf>
    <xf numFmtId="164" fontId="15" fillId="44" borderId="7" xfId="0" applyNumberFormat="1" applyFont="1" applyFill="1" applyBorder="1" applyAlignment="1">
      <alignment horizontal="center"/>
    </xf>
    <xf numFmtId="164" fontId="15" fillId="44" borderId="7" xfId="0" quotePrefix="1" applyNumberFormat="1" applyFont="1" applyFill="1" applyBorder="1" applyAlignment="1">
      <alignment horizontal="center" wrapText="1"/>
    </xf>
    <xf numFmtId="164" fontId="15" fillId="48" borderId="7" xfId="0" quotePrefix="1" applyNumberFormat="1" applyFont="1" applyFill="1" applyBorder="1" applyAlignment="1">
      <alignment horizontal="center" wrapText="1"/>
    </xf>
    <xf numFmtId="168" fontId="15" fillId="44" borderId="21" xfId="2" applyNumberFormat="1" applyFont="1" applyFill="1" applyBorder="1" applyAlignment="1">
      <alignment horizontal="center"/>
    </xf>
    <xf numFmtId="0" fontId="50" fillId="44" borderId="7" xfId="0" applyFont="1" applyFill="1" applyBorder="1" applyAlignment="1">
      <alignment horizontal="center"/>
    </xf>
    <xf numFmtId="0" fontId="50" fillId="44" borderId="21" xfId="0" applyFont="1" applyFill="1" applyBorder="1" applyAlignment="1">
      <alignment horizontal="center"/>
    </xf>
    <xf numFmtId="1" fontId="15" fillId="44" borderId="6" xfId="0" applyNumberFormat="1" applyFont="1" applyFill="1" applyBorder="1" applyAlignment="1">
      <alignment horizontal="center"/>
    </xf>
    <xf numFmtId="1" fontId="15" fillId="44" borderId="5" xfId="0" applyNumberFormat="1" applyFont="1" applyFill="1" applyBorder="1" applyAlignment="1">
      <alignment horizontal="center"/>
    </xf>
    <xf numFmtId="171" fontId="67" fillId="44" borderId="35" xfId="0" applyNumberFormat="1" applyFont="1" applyFill="1" applyBorder="1" applyAlignment="1">
      <alignment horizontal="center"/>
    </xf>
    <xf numFmtId="3" fontId="15" fillId="44" borderId="19" xfId="0" applyNumberFormat="1" applyFont="1" applyFill="1" applyBorder="1" applyAlignment="1">
      <alignment horizontal="center"/>
    </xf>
    <xf numFmtId="1" fontId="21" fillId="44" borderId="1" xfId="0" applyNumberFormat="1" applyFont="1" applyFill="1" applyBorder="1" applyAlignment="1">
      <alignment horizontal="center"/>
    </xf>
    <xf numFmtId="1" fontId="21" fillId="44" borderId="0" xfId="0" applyNumberFormat="1" applyFont="1" applyFill="1" applyBorder="1" applyAlignment="1">
      <alignment horizontal="center"/>
    </xf>
    <xf numFmtId="1" fontId="21" fillId="44" borderId="7" xfId="0" applyNumberFormat="1" applyFont="1" applyFill="1" applyBorder="1" applyAlignment="1">
      <alignment horizontal="center"/>
    </xf>
    <xf numFmtId="166" fontId="21" fillId="44" borderId="21" xfId="37" applyNumberFormat="1" applyFont="1" applyFill="1" applyBorder="1" applyAlignment="1">
      <alignment horizontal="center"/>
    </xf>
    <xf numFmtId="0" fontId="85" fillId="0" borderId="0" xfId="0" applyFont="1" applyAlignment="1">
      <alignment horizontal="left" vertical="top" wrapText="1"/>
    </xf>
    <xf numFmtId="0" fontId="15" fillId="0" borderId="0" xfId="0" applyFont="1" applyFill="1" applyBorder="1" applyAlignment="1">
      <alignment horizontal="center"/>
    </xf>
    <xf numFmtId="0" fontId="15" fillId="44" borderId="1" xfId="0" applyFont="1" applyFill="1" applyBorder="1" applyAlignment="1">
      <alignment horizontal="center"/>
    </xf>
    <xf numFmtId="0" fontId="15" fillId="44" borderId="0" xfId="0" applyFont="1" applyFill="1" applyBorder="1" applyAlignment="1">
      <alignment horizontal="center"/>
    </xf>
    <xf numFmtId="0" fontId="49" fillId="0" borderId="1" xfId="0" applyFont="1" applyBorder="1" applyAlignment="1">
      <alignment horizontal="left" vertical="top" wrapText="1" indent="2"/>
    </xf>
    <xf numFmtId="0" fontId="55" fillId="60" borderId="1" xfId="0" applyFont="1" applyFill="1" applyBorder="1" applyAlignment="1">
      <alignment horizontal="left" indent="2"/>
    </xf>
    <xf numFmtId="3" fontId="15" fillId="0" borderId="27" xfId="0" applyNumberFormat="1" applyFont="1" applyFill="1" applyBorder="1" applyAlignment="1">
      <alignment horizontal="center" wrapText="1"/>
    </xf>
    <xf numFmtId="1" fontId="50" fillId="0" borderId="5" xfId="0" applyNumberFormat="1" applyFont="1" applyFill="1" applyBorder="1" applyAlignment="1">
      <alignment horizontal="center"/>
    </xf>
    <xf numFmtId="0" fontId="55" fillId="0" borderId="1" xfId="0" applyFont="1" applyFill="1" applyBorder="1" applyAlignment="1">
      <alignment horizontal="left" indent="2"/>
    </xf>
    <xf numFmtId="0" fontId="15" fillId="0" borderId="0" xfId="0" applyFont="1" applyBorder="1" applyAlignment="1">
      <alignment horizontal="left" indent="4"/>
    </xf>
    <xf numFmtId="164" fontId="15" fillId="0" borderId="0" xfId="1" applyNumberFormat="1" applyFont="1" applyFill="1" applyBorder="1" applyAlignment="1">
      <alignment horizontal="center"/>
    </xf>
    <xf numFmtId="168" fontId="15" fillId="0" borderId="0" xfId="2" applyNumberFormat="1" applyFont="1" applyFill="1" applyBorder="1" applyAlignment="1">
      <alignment horizontal="center"/>
    </xf>
    <xf numFmtId="0" fontId="15" fillId="2" borderId="0" xfId="0" applyFont="1" applyFill="1" applyBorder="1" applyAlignment="1">
      <alignment horizontal="center" vertical="top"/>
    </xf>
    <xf numFmtId="164" fontId="56" fillId="0" borderId="26" xfId="0" applyNumberFormat="1" applyFont="1" applyFill="1" applyBorder="1" applyAlignment="1">
      <alignment horizontal="center"/>
    </xf>
    <xf numFmtId="164" fontId="15" fillId="0" borderId="0" xfId="0" quotePrefix="1" applyNumberFormat="1" applyFont="1" applyFill="1" applyBorder="1" applyAlignment="1">
      <alignment horizontal="center" wrapText="1"/>
    </xf>
    <xf numFmtId="164" fontId="56" fillId="44" borderId="26" xfId="0" applyNumberFormat="1" applyFont="1" applyFill="1" applyBorder="1" applyAlignment="1">
      <alignment horizontal="center"/>
    </xf>
    <xf numFmtId="164" fontId="56" fillId="44" borderId="27" xfId="0" applyNumberFormat="1" applyFont="1" applyFill="1" applyBorder="1" applyAlignment="1">
      <alignment horizontal="center"/>
    </xf>
    <xf numFmtId="164" fontId="56" fillId="44" borderId="28" xfId="0" applyNumberFormat="1" applyFont="1" applyFill="1" applyBorder="1" applyAlignment="1">
      <alignment horizontal="center"/>
    </xf>
    <xf numFmtId="164" fontId="15" fillId="44" borderId="1" xfId="0" quotePrefix="1" applyNumberFormat="1" applyFont="1" applyFill="1" applyBorder="1" applyAlignment="1">
      <alignment horizontal="center" wrapText="1"/>
    </xf>
    <xf numFmtId="164" fontId="15" fillId="48" borderId="1" xfId="0" quotePrefix="1" applyNumberFormat="1" applyFont="1" applyFill="1" applyBorder="1" applyAlignment="1">
      <alignment horizontal="center" wrapText="1"/>
    </xf>
    <xf numFmtId="168" fontId="15" fillId="44" borderId="6" xfId="2" applyNumberFormat="1" applyFont="1" applyFill="1" applyBorder="1" applyAlignment="1">
      <alignment horizontal="center"/>
    </xf>
    <xf numFmtId="0" fontId="46" fillId="0" borderId="0" xfId="0" applyFont="1" applyFill="1" applyBorder="1" applyAlignment="1">
      <alignment horizontal="center"/>
    </xf>
    <xf numFmtId="0" fontId="79" fillId="0" borderId="0" xfId="0" applyFont="1" applyFill="1" applyBorder="1" applyAlignment="1">
      <alignment horizontal="center"/>
    </xf>
    <xf numFmtId="0" fontId="0" fillId="0" borderId="27" xfId="0" applyFill="1" applyBorder="1" applyAlignment="1">
      <alignment horizontal="center"/>
    </xf>
    <xf numFmtId="164" fontId="15" fillId="0" borderId="6" xfId="0" applyNumberFormat="1" applyFont="1" applyBorder="1" applyAlignment="1">
      <alignment horizontal="center"/>
    </xf>
    <xf numFmtId="164" fontId="15" fillId="0" borderId="5" xfId="0" applyNumberFormat="1" applyFont="1" applyBorder="1" applyAlignment="1">
      <alignment horizontal="center"/>
    </xf>
    <xf numFmtId="164" fontId="15" fillId="0" borderId="5" xfId="0" applyNumberFormat="1" applyFont="1" applyFill="1" applyBorder="1" applyAlignment="1">
      <alignment horizontal="center"/>
    </xf>
    <xf numFmtId="164" fontId="15" fillId="44" borderId="6" xfId="0" applyNumberFormat="1" applyFont="1" applyFill="1" applyBorder="1" applyAlignment="1">
      <alignment horizontal="center"/>
    </xf>
    <xf numFmtId="164" fontId="15" fillId="44" borderId="5" xfId="0" applyNumberFormat="1" applyFont="1" applyFill="1" applyBorder="1" applyAlignment="1">
      <alignment horizontal="center"/>
    </xf>
    <xf numFmtId="164" fontId="15" fillId="44" borderId="21" xfId="0" applyNumberFormat="1" applyFont="1" applyFill="1" applyBorder="1" applyAlignment="1">
      <alignment horizontal="center"/>
    </xf>
    <xf numFmtId="0" fontId="50" fillId="0" borderId="26" xfId="0" applyFont="1" applyBorder="1"/>
    <xf numFmtId="0" fontId="50" fillId="0" borderId="17" xfId="0" applyFont="1" applyBorder="1"/>
    <xf numFmtId="164" fontId="50" fillId="0" borderId="18" xfId="0" applyNumberFormat="1" applyFont="1" applyBorder="1" applyAlignment="1">
      <alignment horizontal="center"/>
    </xf>
    <xf numFmtId="164" fontId="50" fillId="0" borderId="17" xfId="0" applyNumberFormat="1" applyFont="1" applyBorder="1" applyAlignment="1">
      <alignment horizontal="center"/>
    </xf>
    <xf numFmtId="164" fontId="50" fillId="0" borderId="27" xfId="0" applyNumberFormat="1" applyFont="1" applyBorder="1" applyAlignment="1">
      <alignment horizontal="center"/>
    </xf>
    <xf numFmtId="164" fontId="50" fillId="44" borderId="26" xfId="0" applyNumberFormat="1" applyFont="1" applyFill="1" applyBorder="1" applyAlignment="1">
      <alignment horizontal="center"/>
    </xf>
    <xf numFmtId="164" fontId="50" fillId="44" borderId="27" xfId="0" applyNumberFormat="1" applyFont="1" applyFill="1" applyBorder="1" applyAlignment="1">
      <alignment horizontal="center"/>
    </xf>
    <xf numFmtId="164" fontId="50" fillId="44" borderId="28" xfId="0" applyNumberFormat="1" applyFont="1" applyFill="1" applyBorder="1" applyAlignment="1">
      <alignment horizontal="center"/>
    </xf>
    <xf numFmtId="0" fontId="89" fillId="0" borderId="0" xfId="0" applyFont="1"/>
    <xf numFmtId="0" fontId="90" fillId="0" borderId="0" xfId="521"/>
    <xf numFmtId="167" fontId="15" fillId="52" borderId="27" xfId="2" applyNumberFormat="1" applyFont="1" applyFill="1" applyBorder="1" applyAlignment="1">
      <alignment horizontal="center"/>
    </xf>
    <xf numFmtId="167" fontId="15" fillId="52" borderId="46" xfId="2" applyNumberFormat="1" applyFont="1" applyFill="1" applyBorder="1" applyAlignment="1">
      <alignment horizontal="center"/>
    </xf>
    <xf numFmtId="167" fontId="15" fillId="0" borderId="6" xfId="2" applyNumberFormat="1" applyFont="1" applyBorder="1" applyAlignment="1">
      <alignment horizontal="center"/>
    </xf>
    <xf numFmtId="1" fontId="21" fillId="0" borderId="6" xfId="37" applyNumberFormat="1" applyFont="1" applyBorder="1" applyAlignment="1">
      <alignment horizontal="center"/>
    </xf>
    <xf numFmtId="1" fontId="21" fillId="0" borderId="5" xfId="37" applyNumberFormat="1" applyFont="1" applyBorder="1" applyAlignment="1">
      <alignment horizontal="center"/>
    </xf>
    <xf numFmtId="1" fontId="21" fillId="0" borderId="21" xfId="37" applyNumberFormat="1" applyFont="1" applyBorder="1" applyAlignment="1">
      <alignment horizontal="center"/>
    </xf>
    <xf numFmtId="1" fontId="21" fillId="52" borderId="5" xfId="37" applyNumberFormat="1" applyFont="1" applyFill="1" applyBorder="1" applyAlignment="1">
      <alignment horizontal="center"/>
    </xf>
    <xf numFmtId="1" fontId="21" fillId="52" borderId="21" xfId="37" applyNumberFormat="1" applyFont="1" applyFill="1" applyBorder="1" applyAlignment="1">
      <alignment horizontal="center"/>
    </xf>
    <xf numFmtId="167" fontId="15" fillId="0" borderId="0" xfId="0" applyNumberFormat="1" applyFont="1"/>
    <xf numFmtId="1" fontId="15" fillId="44" borderId="0" xfId="0" applyNumberFormat="1" applyFont="1" applyFill="1" applyBorder="1" applyAlignment="1">
      <alignment horizontal="center" vertical="top" wrapText="1"/>
    </xf>
    <xf numFmtId="175" fontId="55" fillId="0" borderId="0" xfId="0" applyNumberFormat="1" applyFont="1" applyFill="1" applyBorder="1" applyAlignment="1">
      <alignment horizontal="center"/>
    </xf>
    <xf numFmtId="164" fontId="15" fillId="52" borderId="1" xfId="0" applyNumberFormat="1" applyFont="1" applyFill="1" applyBorder="1" applyAlignment="1">
      <alignment horizontal="center"/>
    </xf>
    <xf numFmtId="164" fontId="15" fillId="52" borderId="0" xfId="0" applyNumberFormat="1" applyFont="1" applyFill="1" applyBorder="1" applyAlignment="1">
      <alignment horizontal="center"/>
    </xf>
    <xf numFmtId="164" fontId="15" fillId="52" borderId="46" xfId="0" applyNumberFormat="1" applyFont="1" applyFill="1" applyBorder="1" applyAlignment="1">
      <alignment horizontal="center"/>
    </xf>
    <xf numFmtId="164" fontId="50" fillId="44" borderId="46" xfId="0" applyNumberFormat="1" applyFont="1" applyFill="1" applyBorder="1" applyAlignment="1">
      <alignment horizontal="center"/>
    </xf>
    <xf numFmtId="166" fontId="15" fillId="0" borderId="0" xfId="0" applyNumberFormat="1" applyFont="1" applyAlignment="1">
      <alignment horizontal="center"/>
    </xf>
    <xf numFmtId="166" fontId="15" fillId="52" borderId="0" xfId="0" applyNumberFormat="1" applyFont="1" applyFill="1" applyAlignment="1">
      <alignment horizontal="center"/>
    </xf>
    <xf numFmtId="9" fontId="15" fillId="0" borderId="0" xfId="2" quotePrefix="1" applyFont="1" applyFill="1" applyBorder="1" applyAlignment="1">
      <alignment horizontal="center"/>
    </xf>
    <xf numFmtId="9" fontId="15" fillId="0" borderId="0" xfId="0" applyNumberFormat="1" applyFont="1" applyAlignment="1">
      <alignment horizontal="center"/>
    </xf>
    <xf numFmtId="9" fontId="0" fillId="0" borderId="0" xfId="0" applyNumberFormat="1"/>
    <xf numFmtId="1" fontId="15" fillId="44" borderId="46" xfId="0" applyNumberFormat="1" applyFont="1" applyFill="1" applyBorder="1" applyAlignment="1">
      <alignment horizontal="center"/>
    </xf>
    <xf numFmtId="166" fontId="15" fillId="52" borderId="6" xfId="0" applyNumberFormat="1" applyFont="1" applyFill="1" applyBorder="1" applyAlignment="1">
      <alignment horizontal="center" wrapText="1"/>
    </xf>
    <xf numFmtId="166" fontId="15" fillId="52" borderId="5" xfId="0" applyNumberFormat="1" applyFont="1" applyFill="1" applyBorder="1" applyAlignment="1">
      <alignment horizontal="center" wrapText="1"/>
    </xf>
    <xf numFmtId="166" fontId="15" fillId="52" borderId="21" xfId="0" applyNumberFormat="1" applyFont="1" applyFill="1" applyBorder="1" applyAlignment="1">
      <alignment horizontal="center" wrapText="1"/>
    </xf>
    <xf numFmtId="0" fontId="15" fillId="0" borderId="6" xfId="0" applyFont="1" applyFill="1" applyBorder="1" applyAlignment="1">
      <alignment horizontal="left" vertical="top" wrapText="1" indent="2"/>
    </xf>
    <xf numFmtId="16" fontId="46" fillId="0" borderId="5" xfId="0" applyNumberFormat="1" applyFont="1" applyFill="1" applyBorder="1" applyAlignment="1">
      <alignment horizontal="center"/>
    </xf>
    <xf numFmtId="166" fontId="3" fillId="46" borderId="47" xfId="0" applyNumberFormat="1" applyFont="1" applyFill="1" applyBorder="1" applyAlignment="1">
      <alignment horizontal="right"/>
    </xf>
    <xf numFmtId="166" fontId="3" fillId="46" borderId="0" xfId="0" applyNumberFormat="1" applyFont="1" applyFill="1" applyAlignment="1">
      <alignment horizontal="right"/>
    </xf>
    <xf numFmtId="166" fontId="3" fillId="46" borderId="48" xfId="0" applyNumberFormat="1" applyFont="1" applyFill="1" applyBorder="1" applyAlignment="1">
      <alignment horizontal="right"/>
    </xf>
    <xf numFmtId="166" fontId="3" fillId="0" borderId="49" xfId="0" applyNumberFormat="1" applyFont="1" applyBorder="1" applyAlignment="1">
      <alignment horizontal="right"/>
    </xf>
    <xf numFmtId="166" fontId="3" fillId="0" borderId="0" xfId="0" applyNumberFormat="1" applyFont="1" applyAlignment="1">
      <alignment horizontal="right"/>
    </xf>
    <xf numFmtId="166" fontId="3" fillId="0" borderId="40" xfId="0" applyNumberFormat="1" applyFont="1" applyBorder="1" applyAlignment="1">
      <alignment horizontal="right"/>
    </xf>
    <xf numFmtId="166" fontId="0" fillId="46" borderId="49" xfId="0" applyNumberFormat="1" applyFill="1" applyBorder="1" applyAlignment="1">
      <alignment horizontal="right"/>
    </xf>
    <xf numFmtId="166" fontId="0" fillId="46" borderId="0" xfId="0" applyNumberFormat="1" applyFill="1" applyAlignment="1">
      <alignment horizontal="right"/>
    </xf>
    <xf numFmtId="166" fontId="0" fillId="46" borderId="40" xfId="0" applyNumberFormat="1" applyFill="1" applyBorder="1" applyAlignment="1">
      <alignment horizontal="right"/>
    </xf>
    <xf numFmtId="166" fontId="0" fillId="0" borderId="49" xfId="0" applyNumberFormat="1" applyBorder="1" applyAlignment="1">
      <alignment horizontal="right"/>
    </xf>
    <xf numFmtId="166" fontId="0" fillId="0" borderId="0" xfId="0" applyNumberFormat="1" applyAlignment="1">
      <alignment horizontal="right"/>
    </xf>
    <xf numFmtId="166" fontId="0" fillId="0" borderId="40" xfId="0" applyNumberFormat="1" applyBorder="1" applyAlignment="1">
      <alignment horizontal="right"/>
    </xf>
    <xf numFmtId="166" fontId="3" fillId="46" borderId="49" xfId="0" applyNumberFormat="1" applyFont="1" applyFill="1" applyBorder="1" applyAlignment="1">
      <alignment horizontal="right"/>
    </xf>
    <xf numFmtId="166" fontId="3" fillId="46" borderId="40" xfId="0" applyNumberFormat="1" applyFont="1" applyFill="1" applyBorder="1" applyAlignment="1">
      <alignment horizontal="right"/>
    </xf>
    <xf numFmtId="166" fontId="3" fillId="46" borderId="50" xfId="0" applyNumberFormat="1" applyFont="1" applyFill="1" applyBorder="1" applyAlignment="1">
      <alignment horizontal="right"/>
    </xf>
    <xf numFmtId="166" fontId="3" fillId="46" borderId="39" xfId="0" applyNumberFormat="1" applyFont="1" applyFill="1" applyBorder="1" applyAlignment="1">
      <alignment horizontal="right"/>
    </xf>
    <xf numFmtId="166" fontId="3" fillId="46" borderId="41" xfId="0" applyNumberFormat="1" applyFont="1" applyFill="1" applyBorder="1" applyAlignment="1">
      <alignment horizontal="right"/>
    </xf>
    <xf numFmtId="166" fontId="0" fillId="0" borderId="0" xfId="0" applyNumberFormat="1" applyFill="1"/>
    <xf numFmtId="0" fontId="15" fillId="44" borderId="1" xfId="0" applyFont="1" applyFill="1" applyBorder="1" applyAlignment="1">
      <alignment horizontal="center"/>
    </xf>
    <xf numFmtId="0" fontId="15" fillId="44" borderId="0" xfId="0" applyFont="1" applyFill="1" applyBorder="1" applyAlignment="1">
      <alignment horizontal="center"/>
    </xf>
    <xf numFmtId="0" fontId="1" fillId="0" borderId="0" xfId="5" applyFont="1" applyAlignment="1">
      <alignment horizontal="left" indent="1"/>
    </xf>
    <xf numFmtId="0" fontId="1" fillId="0" borderId="0" xfId="5" applyFont="1" applyAlignment="1">
      <alignment horizontal="left" indent="2"/>
    </xf>
    <xf numFmtId="0" fontId="1" fillId="0" borderId="0" xfId="5" applyFont="1" applyAlignment="1">
      <alignment horizontal="left" wrapText="1" indent="1"/>
    </xf>
    <xf numFmtId="0" fontId="15" fillId="44" borderId="19" xfId="0" applyFont="1" applyFill="1" applyBorder="1" applyAlignment="1">
      <alignment horizontal="center"/>
    </xf>
    <xf numFmtId="0" fontId="15" fillId="44" borderId="18" xfId="0" applyFont="1" applyFill="1" applyBorder="1" applyAlignment="1">
      <alignment horizontal="center"/>
    </xf>
    <xf numFmtId="0" fontId="15" fillId="44" borderId="27" xfId="0" applyFont="1" applyFill="1" applyBorder="1" applyAlignment="1">
      <alignment horizontal="center"/>
    </xf>
    <xf numFmtId="0" fontId="15" fillId="0" borderId="0" xfId="0" applyFont="1" applyBorder="1" applyAlignment="1">
      <alignment horizontal="center" wrapText="1"/>
    </xf>
    <xf numFmtId="0" fontId="49" fillId="0" borderId="18" xfId="0" applyFont="1" applyBorder="1" applyAlignment="1">
      <alignment horizontal="center" vertical="top" wrapText="1"/>
    </xf>
    <xf numFmtId="0" fontId="49" fillId="0" borderId="27" xfId="0" applyFont="1" applyBorder="1" applyAlignment="1">
      <alignment horizontal="center" vertical="top" wrapText="1"/>
    </xf>
    <xf numFmtId="0" fontId="15" fillId="44" borderId="1" xfId="0" applyFont="1" applyFill="1" applyBorder="1" applyAlignment="1">
      <alignment horizontal="center"/>
    </xf>
    <xf numFmtId="0" fontId="15" fillId="44" borderId="0" xfId="0" applyFont="1" applyFill="1" applyBorder="1" applyAlignment="1">
      <alignment horizontal="center"/>
    </xf>
    <xf numFmtId="0" fontId="15" fillId="44" borderId="46" xfId="0" applyFont="1" applyFill="1" applyBorder="1" applyAlignment="1">
      <alignment horizontal="center"/>
    </xf>
    <xf numFmtId="0" fontId="0" fillId="44" borderId="46" xfId="0" applyFill="1" applyBorder="1"/>
    <xf numFmtId="3" fontId="15" fillId="44" borderId="46" xfId="0" applyNumberFormat="1" applyFont="1" applyFill="1" applyBorder="1" applyAlignment="1">
      <alignment horizontal="center" wrapText="1"/>
    </xf>
    <xf numFmtId="3" fontId="15" fillId="44" borderId="46" xfId="0" quotePrefix="1" applyNumberFormat="1" applyFont="1" applyFill="1" applyBorder="1" applyAlignment="1">
      <alignment horizontal="center" wrapText="1"/>
    </xf>
    <xf numFmtId="1" fontId="15" fillId="44" borderId="46" xfId="0" quotePrefix="1" applyNumberFormat="1" applyFont="1" applyFill="1" applyBorder="1" applyAlignment="1">
      <alignment horizontal="center" wrapText="1"/>
    </xf>
    <xf numFmtId="3" fontId="15" fillId="44" borderId="21" xfId="0" applyNumberFormat="1" applyFont="1" applyFill="1" applyBorder="1" applyAlignment="1">
      <alignment horizontal="center" wrapText="1"/>
    </xf>
    <xf numFmtId="0" fontId="49" fillId="0" borderId="33" xfId="0" applyFont="1" applyBorder="1" applyAlignment="1">
      <alignment horizontal="center"/>
    </xf>
    <xf numFmtId="0" fontId="49" fillId="0" borderId="34" xfId="0" applyFont="1" applyBorder="1" applyAlignment="1">
      <alignment horizontal="center"/>
    </xf>
    <xf numFmtId="0" fontId="49" fillId="0" borderId="35" xfId="0" applyFont="1" applyBorder="1" applyAlignment="1">
      <alignment horizontal="center"/>
    </xf>
    <xf numFmtId="0" fontId="49" fillId="52" borderId="34" xfId="0" applyFont="1" applyFill="1" applyBorder="1" applyAlignment="1">
      <alignment horizontal="center"/>
    </xf>
    <xf numFmtId="0" fontId="49" fillId="52" borderId="35" xfId="0" applyFont="1" applyFill="1" applyBorder="1" applyAlignment="1">
      <alignment horizontal="center"/>
    </xf>
    <xf numFmtId="164" fontId="15" fillId="52" borderId="18" xfId="0" applyNumberFormat="1" applyFont="1" applyFill="1" applyBorder="1" applyAlignment="1">
      <alignment horizontal="center"/>
    </xf>
    <xf numFmtId="164" fontId="15" fillId="52" borderId="27" xfId="0" applyNumberFormat="1" applyFont="1" applyFill="1" applyBorder="1" applyAlignment="1">
      <alignment horizontal="center"/>
    </xf>
    <xf numFmtId="0" fontId="15" fillId="52" borderId="19" xfId="0" applyFont="1" applyFill="1" applyBorder="1" applyAlignment="1">
      <alignment horizontal="center"/>
    </xf>
    <xf numFmtId="0" fontId="15" fillId="52" borderId="46" xfId="0" applyFont="1" applyFill="1" applyBorder="1"/>
    <xf numFmtId="164" fontId="15" fillId="52" borderId="6" xfId="0" applyNumberFormat="1" applyFont="1" applyFill="1" applyBorder="1" applyAlignment="1">
      <alignment horizontal="center"/>
    </xf>
    <xf numFmtId="164" fontId="15" fillId="52" borderId="5" xfId="0" applyNumberFormat="1" applyFont="1" applyFill="1" applyBorder="1" applyAlignment="1">
      <alignment horizontal="center"/>
    </xf>
    <xf numFmtId="0" fontId="15" fillId="52" borderId="21" xfId="0" applyFont="1" applyFill="1" applyBorder="1"/>
    <xf numFmtId="2" fontId="15" fillId="52" borderId="0" xfId="0" applyNumberFormat="1" applyFont="1" applyFill="1" applyBorder="1" applyAlignment="1">
      <alignment horizontal="center"/>
    </xf>
    <xf numFmtId="2" fontId="15" fillId="52" borderId="18" xfId="0" applyNumberFormat="1" applyFont="1" applyFill="1" applyBorder="1" applyAlignment="1">
      <alignment horizontal="center"/>
    </xf>
    <xf numFmtId="2" fontId="15" fillId="52" borderId="27" xfId="0" applyNumberFormat="1" applyFont="1" applyFill="1" applyBorder="1" applyAlignment="1">
      <alignment horizontal="center"/>
    </xf>
    <xf numFmtId="2" fontId="15" fillId="52" borderId="1" xfId="0" applyNumberFormat="1" applyFont="1" applyFill="1" applyBorder="1" applyAlignment="1">
      <alignment horizontal="center"/>
    </xf>
    <xf numFmtId="2" fontId="15" fillId="52" borderId="6" xfId="0" applyNumberFormat="1" applyFont="1" applyFill="1" applyBorder="1" applyAlignment="1">
      <alignment horizontal="center"/>
    </xf>
    <xf numFmtId="2" fontId="15" fillId="52" borderId="5" xfId="0" applyNumberFormat="1" applyFont="1" applyFill="1" applyBorder="1" applyAlignment="1">
      <alignment horizontal="center"/>
    </xf>
    <xf numFmtId="0" fontId="49" fillId="52" borderId="18" xfId="0" applyFont="1" applyFill="1" applyBorder="1" applyAlignment="1">
      <alignment horizontal="center"/>
    </xf>
    <xf numFmtId="0" fontId="49" fillId="52" borderId="27" xfId="0" applyFont="1" applyFill="1" applyBorder="1" applyAlignment="1">
      <alignment horizontal="center"/>
    </xf>
    <xf numFmtId="0" fontId="49" fillId="52" borderId="19" xfId="0" applyFont="1" applyFill="1" applyBorder="1" applyAlignment="1">
      <alignment horizontal="center"/>
    </xf>
    <xf numFmtId="1" fontId="55" fillId="44" borderId="0" xfId="0" applyNumberFormat="1" applyFont="1" applyFill="1" applyBorder="1" applyAlignment="1">
      <alignment horizontal="center"/>
    </xf>
    <xf numFmtId="1" fontId="55" fillId="44" borderId="5" xfId="0" applyNumberFormat="1" applyFont="1" applyFill="1" applyBorder="1" applyAlignment="1">
      <alignment horizontal="center"/>
    </xf>
    <xf numFmtId="1" fontId="55" fillId="44" borderId="21" xfId="0" applyNumberFormat="1" applyFont="1" applyFill="1" applyBorder="1" applyAlignment="1">
      <alignment horizontal="center"/>
    </xf>
    <xf numFmtId="1" fontId="55" fillId="0" borderId="18" xfId="0" applyNumberFormat="1" applyFont="1" applyBorder="1" applyAlignment="1">
      <alignment horizontal="center"/>
    </xf>
    <xf numFmtId="1" fontId="55" fillId="0" borderId="27" xfId="0" applyNumberFormat="1" applyFont="1" applyBorder="1" applyAlignment="1">
      <alignment horizontal="center"/>
    </xf>
    <xf numFmtId="1" fontId="55" fillId="44" borderId="27" xfId="0" applyNumberFormat="1" applyFont="1" applyFill="1" applyBorder="1" applyAlignment="1">
      <alignment horizontal="center"/>
    </xf>
    <xf numFmtId="1" fontId="55" fillId="44" borderId="19" xfId="0" applyNumberFormat="1" applyFont="1" applyFill="1" applyBorder="1" applyAlignment="1">
      <alignment horizontal="center"/>
    </xf>
    <xf numFmtId="1" fontId="55" fillId="0" borderId="1" xfId="0" applyNumberFormat="1" applyFont="1" applyBorder="1" applyAlignment="1">
      <alignment horizontal="center"/>
    </xf>
    <xf numFmtId="1" fontId="55" fillId="0" borderId="0" xfId="0" applyNumberFormat="1" applyFont="1" applyBorder="1" applyAlignment="1">
      <alignment horizontal="center"/>
    </xf>
    <xf numFmtId="1" fontId="55" fillId="44" borderId="46" xfId="0" applyNumberFormat="1" applyFont="1" applyFill="1" applyBorder="1" applyAlignment="1">
      <alignment horizontal="center"/>
    </xf>
    <xf numFmtId="1" fontId="55" fillId="0" borderId="6" xfId="0" applyNumberFormat="1" applyFont="1" applyBorder="1" applyAlignment="1">
      <alignment horizontal="center"/>
    </xf>
    <xf numFmtId="1" fontId="55" fillId="0" borderId="5" xfId="0" applyNumberFormat="1" applyFont="1" applyBorder="1" applyAlignment="1">
      <alignment horizontal="center"/>
    </xf>
    <xf numFmtId="1" fontId="55" fillId="0" borderId="19" xfId="0" applyNumberFormat="1" applyFont="1" applyBorder="1" applyAlignment="1">
      <alignment horizontal="center"/>
    </xf>
    <xf numFmtId="1" fontId="55" fillId="0" borderId="46" xfId="0" applyNumberFormat="1" applyFont="1" applyBorder="1" applyAlignment="1">
      <alignment horizontal="center"/>
    </xf>
    <xf numFmtId="1" fontId="15" fillId="0" borderId="46" xfId="0" applyNumberFormat="1" applyFont="1" applyBorder="1" applyAlignment="1">
      <alignment horizontal="center"/>
    </xf>
    <xf numFmtId="1" fontId="55" fillId="0" borderId="21" xfId="0" applyNumberFormat="1" applyFont="1" applyBorder="1" applyAlignment="1">
      <alignment horizontal="center"/>
    </xf>
    <xf numFmtId="0" fontId="55" fillId="0" borderId="1" xfId="0" applyFont="1" applyBorder="1"/>
    <xf numFmtId="0" fontId="55" fillId="0" borderId="6" xfId="0" applyFont="1" applyBorder="1"/>
    <xf numFmtId="166" fontId="21" fillId="44" borderId="34" xfId="0" quotePrefix="1" applyNumberFormat="1" applyFont="1" applyFill="1" applyBorder="1" applyAlignment="1">
      <alignment horizontal="center"/>
    </xf>
    <xf numFmtId="166" fontId="21" fillId="44" borderId="35" xfId="0" quotePrefix="1" applyNumberFormat="1" applyFont="1" applyFill="1" applyBorder="1" applyAlignment="1">
      <alignment horizontal="center"/>
    </xf>
    <xf numFmtId="1" fontId="0" fillId="0" borderId="0" xfId="0" applyNumberFormat="1"/>
    <xf numFmtId="0" fontId="89" fillId="0" borderId="0" xfId="0" applyFont="1" applyFill="1"/>
    <xf numFmtId="0" fontId="15" fillId="0" borderId="46" xfId="0" applyFont="1" applyBorder="1" applyAlignment="1">
      <alignment wrapText="1"/>
    </xf>
    <xf numFmtId="0" fontId="15" fillId="0" borderId="27" xfId="0" applyFont="1" applyBorder="1" applyAlignment="1">
      <alignment wrapText="1"/>
    </xf>
    <xf numFmtId="0" fontId="0" fillId="0" borderId="0" xfId="0" applyFill="1" applyAlignment="1">
      <alignment horizontal="left" indent="1"/>
    </xf>
    <xf numFmtId="3" fontId="50" fillId="0" borderId="0" xfId="0" applyNumberFormat="1" applyFont="1" applyFill="1" applyBorder="1" applyAlignment="1">
      <alignment horizontal="center" wrapText="1"/>
    </xf>
    <xf numFmtId="165" fontId="50" fillId="0" borderId="0" xfId="0" applyNumberFormat="1" applyFont="1" applyFill="1" applyBorder="1" applyAlignment="1">
      <alignment wrapText="1"/>
    </xf>
    <xf numFmtId="1" fontId="50" fillId="44" borderId="5" xfId="0" applyNumberFormat="1" applyFont="1" applyFill="1" applyBorder="1" applyAlignment="1">
      <alignment horizontal="center"/>
    </xf>
    <xf numFmtId="3" fontId="50" fillId="44" borderId="46" xfId="0" applyNumberFormat="1" applyFont="1" applyFill="1" applyBorder="1" applyAlignment="1">
      <alignment horizontal="center" wrapText="1"/>
    </xf>
    <xf numFmtId="1" fontId="50" fillId="44" borderId="21" xfId="0" applyNumberFormat="1" applyFont="1" applyFill="1" applyBorder="1" applyAlignment="1">
      <alignment horizontal="center"/>
    </xf>
    <xf numFmtId="3" fontId="15" fillId="0" borderId="1" xfId="0" quotePrefix="1" applyNumberFormat="1" applyFont="1" applyFill="1" applyBorder="1" applyAlignment="1">
      <alignment horizontal="left" vertical="top"/>
    </xf>
    <xf numFmtId="171" fontId="67" fillId="52" borderId="18" xfId="0" applyNumberFormat="1" applyFont="1" applyFill="1" applyBorder="1" applyAlignment="1">
      <alignment horizontal="center"/>
    </xf>
    <xf numFmtId="171" fontId="67" fillId="52" borderId="19" xfId="0" applyNumberFormat="1" applyFont="1" applyFill="1" applyBorder="1" applyAlignment="1">
      <alignment horizontal="center"/>
    </xf>
    <xf numFmtId="167" fontId="15" fillId="52" borderId="18" xfId="2" applyNumberFormat="1" applyFont="1" applyFill="1" applyBorder="1" applyAlignment="1">
      <alignment horizontal="center"/>
    </xf>
    <xf numFmtId="167" fontId="15" fillId="52" borderId="19" xfId="2" applyNumberFormat="1" applyFont="1" applyFill="1" applyBorder="1" applyAlignment="1">
      <alignment horizontal="center"/>
    </xf>
    <xf numFmtId="171" fontId="67" fillId="0" borderId="34" xfId="0" applyNumberFormat="1" applyFont="1" applyBorder="1" applyAlignment="1">
      <alignment horizontal="center"/>
    </xf>
    <xf numFmtId="171" fontId="67" fillId="52" borderId="33" xfId="0" applyNumberFormat="1" applyFont="1" applyFill="1" applyBorder="1" applyAlignment="1">
      <alignment horizontal="center"/>
    </xf>
    <xf numFmtId="171" fontId="67" fillId="52" borderId="34" xfId="0" applyNumberFormat="1" applyFont="1" applyFill="1" applyBorder="1" applyAlignment="1">
      <alignment horizontal="center"/>
    </xf>
    <xf numFmtId="171" fontId="67" fillId="52" borderId="35" xfId="0" applyNumberFormat="1" applyFont="1" applyFill="1" applyBorder="1" applyAlignment="1">
      <alignment horizontal="center"/>
    </xf>
    <xf numFmtId="167" fontId="15" fillId="0" borderId="18" xfId="2" applyNumberFormat="1" applyFont="1" applyBorder="1" applyAlignment="1">
      <alignment horizontal="center"/>
    </xf>
    <xf numFmtId="167" fontId="15" fillId="0" borderId="27" xfId="2" applyNumberFormat="1" applyFont="1" applyBorder="1" applyAlignment="1">
      <alignment horizontal="center"/>
    </xf>
    <xf numFmtId="167" fontId="15" fillId="0" borderId="1" xfId="2" applyNumberFormat="1" applyFont="1" applyBorder="1" applyAlignment="1">
      <alignment horizontal="center"/>
    </xf>
    <xf numFmtId="167" fontId="15" fillId="0" borderId="19" xfId="2" applyNumberFormat="1" applyFont="1" applyBorder="1" applyAlignment="1">
      <alignment horizontal="center"/>
    </xf>
    <xf numFmtId="167" fontId="15" fillId="0" borderId="46" xfId="2" applyNumberFormat="1" applyFont="1" applyBorder="1" applyAlignment="1">
      <alignment horizontal="center"/>
    </xf>
    <xf numFmtId="167" fontId="15" fillId="0" borderId="21" xfId="2" applyNumberFormat="1" applyFont="1" applyBorder="1" applyAlignment="1">
      <alignment horizontal="center"/>
    </xf>
    <xf numFmtId="171" fontId="55" fillId="0" borderId="0" xfId="0" applyNumberFormat="1" applyFont="1" applyAlignment="1">
      <alignment horizontal="left"/>
    </xf>
    <xf numFmtId="0" fontId="15" fillId="0" borderId="1" xfId="0" applyFont="1" applyBorder="1" applyAlignment="1">
      <alignment horizontal="left" indent="1"/>
    </xf>
    <xf numFmtId="0" fontId="15" fillId="0" borderId="6" xfId="0" applyFont="1" applyBorder="1" applyAlignment="1">
      <alignment horizontal="left" indent="1"/>
    </xf>
    <xf numFmtId="0" fontId="55" fillId="0" borderId="1" xfId="0" applyFont="1" applyBorder="1" applyAlignment="1">
      <alignment horizontal="left" indent="1"/>
    </xf>
    <xf numFmtId="0" fontId="55" fillId="0" borderId="6" xfId="0" applyFont="1" applyBorder="1" applyAlignment="1">
      <alignment horizontal="left" indent="1"/>
    </xf>
    <xf numFmtId="1" fontId="50" fillId="0" borderId="46" xfId="0" quotePrefix="1" applyNumberFormat="1" applyFont="1" applyFill="1" applyBorder="1" applyAlignment="1">
      <alignment horizontal="center" vertical="top" wrapText="1"/>
    </xf>
    <xf numFmtId="164" fontId="15" fillId="0" borderId="46" xfId="0" applyNumberFormat="1" applyFont="1" applyFill="1" applyBorder="1" applyAlignment="1">
      <alignment horizontal="center" vertical="top" wrapText="1"/>
    </xf>
    <xf numFmtId="164" fontId="50" fillId="0" borderId="46" xfId="0" applyNumberFormat="1" applyFont="1" applyFill="1" applyBorder="1" applyAlignment="1">
      <alignment horizontal="center" vertical="top" wrapText="1"/>
    </xf>
    <xf numFmtId="164" fontId="15" fillId="0" borderId="46" xfId="0" applyNumberFormat="1" applyFont="1" applyFill="1" applyBorder="1" applyAlignment="1">
      <alignment horizontal="right" vertical="top" wrapText="1"/>
    </xf>
    <xf numFmtId="164" fontId="15" fillId="52" borderId="1" xfId="0" quotePrefix="1" applyNumberFormat="1" applyFont="1" applyFill="1" applyBorder="1" applyAlignment="1">
      <alignment horizontal="right" vertical="top" wrapText="1"/>
    </xf>
    <xf numFmtId="164" fontId="15" fillId="52" borderId="46" xfId="0" applyNumberFormat="1" applyFont="1" applyFill="1" applyBorder="1" applyAlignment="1">
      <alignment horizontal="right" vertical="top" wrapText="1"/>
    </xf>
    <xf numFmtId="1" fontId="50" fillId="52" borderId="1" xfId="0" quotePrefix="1" applyNumberFormat="1" applyFont="1" applyFill="1" applyBorder="1" applyAlignment="1">
      <alignment horizontal="center" vertical="top" wrapText="1"/>
    </xf>
    <xf numFmtId="1" fontId="50" fillId="52" borderId="46" xfId="0" quotePrefix="1" applyNumberFormat="1" applyFont="1" applyFill="1" applyBorder="1" applyAlignment="1">
      <alignment horizontal="center" vertical="top" wrapText="1"/>
    </xf>
    <xf numFmtId="1" fontId="15" fillId="44" borderId="1" xfId="0" applyNumberFormat="1" applyFont="1" applyFill="1" applyBorder="1" applyAlignment="1">
      <alignment horizontal="center" vertical="top" wrapText="1"/>
    </xf>
    <xf numFmtId="164" fontId="15" fillId="44" borderId="46" xfId="0" applyNumberFormat="1" applyFont="1" applyFill="1" applyBorder="1" applyAlignment="1">
      <alignment horizontal="center" vertical="top" wrapText="1"/>
    </xf>
    <xf numFmtId="164" fontId="15" fillId="44" borderId="1" xfId="0" applyNumberFormat="1" applyFont="1" applyFill="1" applyBorder="1" applyAlignment="1">
      <alignment horizontal="right" vertical="top" wrapText="1"/>
    </xf>
    <xf numFmtId="164" fontId="15" fillId="44" borderId="46" xfId="0" applyNumberFormat="1" applyFont="1" applyFill="1" applyBorder="1" applyAlignment="1">
      <alignment horizontal="right" vertical="top" wrapText="1"/>
    </xf>
    <xf numFmtId="164" fontId="15" fillId="52" borderId="1" xfId="0" applyNumberFormat="1" applyFont="1" applyFill="1" applyBorder="1" applyAlignment="1">
      <alignment horizontal="right" vertical="top" wrapText="1"/>
    </xf>
    <xf numFmtId="164" fontId="50" fillId="52" borderId="1" xfId="0" applyNumberFormat="1" applyFont="1" applyFill="1" applyBorder="1" applyAlignment="1">
      <alignment horizontal="center" vertical="top" wrapText="1"/>
    </xf>
    <xf numFmtId="164" fontId="50" fillId="52" borderId="46" xfId="0" applyNumberFormat="1" applyFont="1" applyFill="1" applyBorder="1" applyAlignment="1">
      <alignment horizontal="center" vertical="top" wrapText="1"/>
    </xf>
    <xf numFmtId="164" fontId="15" fillId="52" borderId="1" xfId="0" applyNumberFormat="1" applyFont="1" applyFill="1" applyBorder="1" applyAlignment="1">
      <alignment horizontal="center" vertical="top" wrapText="1"/>
    </xf>
    <xf numFmtId="164" fontId="15" fillId="52" borderId="46" xfId="0" applyNumberFormat="1" applyFont="1" applyFill="1" applyBorder="1" applyAlignment="1">
      <alignment horizontal="center" vertical="top" wrapText="1"/>
    </xf>
    <xf numFmtId="164" fontId="15" fillId="52" borderId="6" xfId="0" applyNumberFormat="1" applyFont="1" applyFill="1" applyBorder="1" applyAlignment="1">
      <alignment horizontal="center" vertical="top" wrapText="1"/>
    </xf>
    <xf numFmtId="164" fontId="15" fillId="52" borderId="5" xfId="0" applyNumberFormat="1" applyFont="1" applyFill="1" applyBorder="1" applyAlignment="1">
      <alignment horizontal="center" vertical="top" wrapText="1"/>
    </xf>
    <xf numFmtId="164" fontId="15" fillId="52" borderId="21" xfId="0" applyNumberFormat="1" applyFont="1" applyFill="1" applyBorder="1" applyAlignment="1">
      <alignment horizontal="center" vertical="top" wrapText="1"/>
    </xf>
    <xf numFmtId="167" fontId="15" fillId="0" borderId="0" xfId="2" applyNumberFormat="1" applyFont="1" applyFill="1" applyAlignment="1">
      <alignment vertical="center" wrapText="1"/>
    </xf>
    <xf numFmtId="167" fontId="15" fillId="0" borderId="1" xfId="2" applyNumberFormat="1" applyFont="1" applyFill="1" applyBorder="1" applyAlignment="1">
      <alignment vertical="center" wrapText="1"/>
    </xf>
    <xf numFmtId="0" fontId="15" fillId="41" borderId="46" xfId="0" applyFont="1" applyFill="1" applyBorder="1" applyAlignment="1">
      <alignment horizontal="center"/>
    </xf>
    <xf numFmtId="1" fontId="15" fillId="0" borderId="18" xfId="0" applyNumberFormat="1" applyFont="1" applyFill="1" applyBorder="1" applyAlignment="1">
      <alignment horizontal="center"/>
    </xf>
    <xf numFmtId="1" fontId="15" fillId="0" borderId="27" xfId="0" applyNumberFormat="1" applyFont="1" applyFill="1" applyBorder="1" applyAlignment="1">
      <alignment horizontal="center"/>
    </xf>
    <xf numFmtId="1" fontId="15" fillId="0" borderId="19" xfId="0" applyNumberFormat="1" applyFont="1" applyFill="1" applyBorder="1" applyAlignment="1">
      <alignment horizontal="center"/>
    </xf>
    <xf numFmtId="0" fontId="15" fillId="0" borderId="26" xfId="0" applyFont="1" applyBorder="1" applyAlignment="1">
      <alignment horizontal="left" indent="2"/>
    </xf>
    <xf numFmtId="168" fontId="15" fillId="0" borderId="1" xfId="0" applyNumberFormat="1" applyFont="1" applyFill="1" applyBorder="1"/>
    <xf numFmtId="168" fontId="15" fillId="0" borderId="0" xfId="0" applyNumberFormat="1" applyFont="1" applyFill="1" applyBorder="1"/>
    <xf numFmtId="1" fontId="21" fillId="0" borderId="0" xfId="37" applyNumberFormat="1" applyFont="1" applyFill="1" applyBorder="1" applyAlignment="1">
      <alignment horizontal="center"/>
    </xf>
    <xf numFmtId="168" fontId="15" fillId="0" borderId="0" xfId="0" applyNumberFormat="1" applyFont="1" applyBorder="1"/>
    <xf numFmtId="168" fontId="15" fillId="0" borderId="1" xfId="2" applyNumberFormat="1" applyFont="1" applyFill="1" applyBorder="1"/>
    <xf numFmtId="168" fontId="15" fillId="0" borderId="0" xfId="2" applyNumberFormat="1" applyFont="1" applyFill="1" applyBorder="1"/>
    <xf numFmtId="0" fontId="15" fillId="0" borderId="6" xfId="0" applyFont="1" applyBorder="1" applyAlignment="1">
      <alignment horizontal="left" indent="2"/>
    </xf>
    <xf numFmtId="168" fontId="15" fillId="0" borderId="5" xfId="2" applyNumberFormat="1" applyFont="1" applyBorder="1"/>
    <xf numFmtId="168" fontId="15" fillId="0" borderId="6" xfId="2" applyNumberFormat="1" applyFont="1" applyFill="1" applyBorder="1"/>
    <xf numFmtId="168" fontId="15" fillId="0" borderId="5" xfId="2" applyNumberFormat="1" applyFont="1" applyFill="1" applyBorder="1"/>
    <xf numFmtId="1" fontId="21" fillId="0" borderId="5" xfId="37" applyNumberFormat="1" applyFont="1" applyFill="1" applyBorder="1" applyAlignment="1">
      <alignment horizontal="center"/>
    </xf>
    <xf numFmtId="1" fontId="15" fillId="0" borderId="5" xfId="0" applyNumberFormat="1" applyFont="1" applyFill="1" applyBorder="1" applyAlignment="1">
      <alignment horizontal="center"/>
    </xf>
    <xf numFmtId="0" fontId="15" fillId="0" borderId="1" xfId="0" applyFont="1" applyBorder="1" applyAlignment="1">
      <alignment horizontal="left" indent="4"/>
    </xf>
    <xf numFmtId="1" fontId="15" fillId="44" borderId="27" xfId="0" applyNumberFormat="1" applyFont="1" applyFill="1" applyBorder="1" applyAlignment="1">
      <alignment horizontal="center"/>
    </xf>
    <xf numFmtId="1" fontId="15" fillId="44" borderId="19" xfId="0" applyNumberFormat="1" applyFont="1" applyFill="1" applyBorder="1" applyAlignment="1">
      <alignment horizontal="center"/>
    </xf>
    <xf numFmtId="1" fontId="21" fillId="44" borderId="0" xfId="37" applyNumberFormat="1" applyFont="1" applyFill="1" applyBorder="1" applyAlignment="1">
      <alignment horizontal="center"/>
    </xf>
    <xf numFmtId="1" fontId="15" fillId="44" borderId="21" xfId="0" applyNumberFormat="1" applyFont="1" applyFill="1" applyBorder="1" applyAlignment="1">
      <alignment horizontal="center"/>
    </xf>
    <xf numFmtId="1" fontId="15" fillId="0" borderId="46" xfId="0" applyNumberFormat="1" applyFont="1" applyFill="1" applyBorder="1" applyAlignment="1">
      <alignment horizontal="center"/>
    </xf>
    <xf numFmtId="1" fontId="21" fillId="0" borderId="46" xfId="37" applyNumberFormat="1" applyFont="1" applyFill="1" applyBorder="1" applyAlignment="1">
      <alignment horizontal="center"/>
    </xf>
    <xf numFmtId="1" fontId="15" fillId="0" borderId="21" xfId="0" applyNumberFormat="1" applyFont="1" applyFill="1" applyBorder="1" applyAlignment="1">
      <alignment horizontal="center"/>
    </xf>
    <xf numFmtId="0" fontId="15" fillId="0" borderId="46" xfId="0" applyFont="1" applyBorder="1"/>
    <xf numFmtId="167" fontId="15" fillId="0" borderId="46" xfId="2" applyNumberFormat="1" applyFont="1" applyFill="1" applyBorder="1" applyAlignment="1">
      <alignment horizontal="center"/>
    </xf>
    <xf numFmtId="0" fontId="21" fillId="0" borderId="27" xfId="0" applyFont="1" applyFill="1" applyBorder="1" applyAlignment="1">
      <alignment horizontal="center"/>
    </xf>
    <xf numFmtId="0" fontId="15" fillId="0" borderId="27" xfId="0" applyFont="1" applyFill="1" applyBorder="1" applyAlignment="1">
      <alignment horizontal="center"/>
    </xf>
    <xf numFmtId="0" fontId="15" fillId="0" borderId="19" xfId="0" applyFont="1" applyFill="1" applyBorder="1" applyAlignment="1">
      <alignment horizontal="center"/>
    </xf>
    <xf numFmtId="0" fontId="15" fillId="0" borderId="0" xfId="0" applyFont="1" applyBorder="1" applyAlignment="1">
      <alignment horizontal="left" indent="2"/>
    </xf>
    <xf numFmtId="0" fontId="15" fillId="0" borderId="46" xfId="0" applyFont="1" applyBorder="1" applyAlignment="1">
      <alignment horizontal="center"/>
    </xf>
    <xf numFmtId="167" fontId="15" fillId="44" borderId="1" xfId="0" applyNumberFormat="1" applyFont="1" applyFill="1" applyBorder="1" applyAlignment="1">
      <alignment horizontal="center"/>
    </xf>
    <xf numFmtId="167" fontId="15" fillId="44" borderId="0" xfId="0" applyNumberFormat="1" applyFont="1" applyFill="1" applyBorder="1" applyAlignment="1">
      <alignment horizontal="center"/>
    </xf>
    <xf numFmtId="167" fontId="15" fillId="44" borderId="46" xfId="0" applyNumberFormat="1" applyFont="1" applyFill="1" applyBorder="1" applyAlignment="1">
      <alignment horizontal="center"/>
    </xf>
    <xf numFmtId="167" fontId="15" fillId="44" borderId="6" xfId="0" applyNumberFormat="1" applyFont="1" applyFill="1" applyBorder="1" applyAlignment="1">
      <alignment horizontal="center"/>
    </xf>
    <xf numFmtId="167" fontId="15" fillId="44" borderId="5" xfId="0" applyNumberFormat="1" applyFont="1" applyFill="1" applyBorder="1" applyAlignment="1">
      <alignment horizontal="center"/>
    </xf>
    <xf numFmtId="167" fontId="15" fillId="44" borderId="21" xfId="0" applyNumberFormat="1" applyFont="1" applyFill="1" applyBorder="1" applyAlignment="1">
      <alignment horizontal="center"/>
    </xf>
    <xf numFmtId="167" fontId="15" fillId="0" borderId="0" xfId="0" applyNumberFormat="1" applyFont="1" applyFill="1" applyAlignment="1">
      <alignment horizontal="center"/>
    </xf>
    <xf numFmtId="2" fontId="15" fillId="52" borderId="19" xfId="0" applyNumberFormat="1" applyFont="1" applyFill="1" applyBorder="1" applyAlignment="1">
      <alignment horizontal="center"/>
    </xf>
    <xf numFmtId="168" fontId="15" fillId="0" borderId="0" xfId="2" applyNumberFormat="1" applyFont="1" applyBorder="1"/>
    <xf numFmtId="0" fontId="49" fillId="3" borderId="0" xfId="0" applyFont="1" applyFill="1" applyAlignment="1">
      <alignment horizontal="left"/>
    </xf>
    <xf numFmtId="0" fontId="49" fillId="3" borderId="0" xfId="0" applyFont="1" applyFill="1"/>
    <xf numFmtId="164" fontId="15" fillId="0" borderId="18" xfId="0" applyNumberFormat="1" applyFont="1" applyFill="1" applyBorder="1" applyAlignment="1">
      <alignment horizontal="right" vertical="top" wrapText="1"/>
    </xf>
    <xf numFmtId="164" fontId="15" fillId="0" borderId="27" xfId="0" applyNumberFormat="1" applyFont="1" applyFill="1" applyBorder="1" applyAlignment="1">
      <alignment horizontal="right" vertical="top" wrapText="1"/>
    </xf>
    <xf numFmtId="164" fontId="15" fillId="0" borderId="27" xfId="0" quotePrefix="1" applyNumberFormat="1" applyFont="1" applyFill="1" applyBorder="1" applyAlignment="1">
      <alignment horizontal="right" vertical="top" wrapText="1"/>
    </xf>
    <xf numFmtId="164" fontId="15" fillId="0" borderId="19" xfId="0" quotePrefix="1" applyNumberFormat="1" applyFont="1" applyFill="1" applyBorder="1" applyAlignment="1">
      <alignment horizontal="right" vertical="top" wrapText="1"/>
    </xf>
    <xf numFmtId="1" fontId="50" fillId="0" borderId="1" xfId="0" quotePrefix="1" applyNumberFormat="1" applyFont="1" applyFill="1" applyBorder="1" applyAlignment="1">
      <alignment horizontal="center" vertical="top" wrapText="1"/>
    </xf>
    <xf numFmtId="164" fontId="15" fillId="0" borderId="1" xfId="0" applyNumberFormat="1" applyFont="1" applyFill="1" applyBorder="1" applyAlignment="1">
      <alignment horizontal="center" vertical="top" wrapText="1"/>
    </xf>
    <xf numFmtId="164" fontId="50" fillId="0" borderId="1" xfId="0" applyNumberFormat="1" applyFont="1" applyFill="1" applyBorder="1" applyAlignment="1">
      <alignment horizontal="center" vertical="top" wrapText="1"/>
    </xf>
    <xf numFmtId="164" fontId="50" fillId="0" borderId="6" xfId="0" applyNumberFormat="1" applyFont="1" applyFill="1" applyBorder="1" applyAlignment="1">
      <alignment horizontal="center" vertical="top" wrapText="1"/>
    </xf>
    <xf numFmtId="167" fontId="15" fillId="3" borderId="21" xfId="2" applyNumberFormat="1" applyFont="1" applyFill="1" applyBorder="1" applyAlignment="1">
      <alignment horizontal="center"/>
    </xf>
    <xf numFmtId="1" fontId="21" fillId="0" borderId="0" xfId="238" applyNumberFormat="1" applyFont="1" applyBorder="1" applyAlignment="1">
      <alignment horizontal="center"/>
    </xf>
    <xf numFmtId="1" fontId="21" fillId="0" borderId="46" xfId="238" applyNumberFormat="1" applyFont="1" applyBorder="1" applyAlignment="1">
      <alignment horizontal="center"/>
    </xf>
    <xf numFmtId="0" fontId="0" fillId="47" borderId="1" xfId="0" applyFill="1" applyBorder="1" applyAlignment="1">
      <alignment horizontal="left" vertical="top" wrapText="1"/>
    </xf>
    <xf numFmtId="0" fontId="0" fillId="47" borderId="0" xfId="0" applyFill="1" applyBorder="1" applyAlignment="1">
      <alignment horizontal="left" vertical="top" wrapText="1"/>
    </xf>
    <xf numFmtId="0" fontId="0" fillId="47" borderId="7" xfId="0" applyFill="1" applyBorder="1" applyAlignment="1">
      <alignment horizontal="left" vertical="top" wrapText="1"/>
    </xf>
    <xf numFmtId="0" fontId="0" fillId="3" borderId="18" xfId="0" applyFill="1" applyBorder="1" applyAlignment="1">
      <alignment horizontal="center"/>
    </xf>
    <xf numFmtId="0" fontId="0" fillId="3" borderId="17" xfId="0" applyFill="1" applyBorder="1" applyAlignment="1">
      <alignment horizontal="center"/>
    </xf>
    <xf numFmtId="0" fontId="0" fillId="3" borderId="19" xfId="0" applyFill="1" applyBorder="1" applyAlignment="1">
      <alignment horizontal="center"/>
    </xf>
    <xf numFmtId="0" fontId="0" fillId="3" borderId="6" xfId="0" applyFill="1" applyBorder="1" applyAlignment="1">
      <alignment horizontal="center"/>
    </xf>
    <xf numFmtId="0" fontId="0" fillId="3" borderId="5" xfId="0" applyFill="1" applyBorder="1" applyAlignment="1">
      <alignment horizontal="center"/>
    </xf>
    <xf numFmtId="0" fontId="0" fillId="3" borderId="21" xfId="0" applyFill="1" applyBorder="1" applyAlignment="1">
      <alignment horizontal="center"/>
    </xf>
    <xf numFmtId="0" fontId="0" fillId="47" borderId="0" xfId="0" applyFill="1" applyBorder="1" applyAlignment="1">
      <alignment horizontal="left" vertical="top"/>
    </xf>
    <xf numFmtId="0" fontId="0" fillId="47" borderId="7" xfId="0" applyFill="1" applyBorder="1" applyAlignment="1">
      <alignment horizontal="left" vertical="top"/>
    </xf>
    <xf numFmtId="0" fontId="3" fillId="3" borderId="0" xfId="0" applyFont="1" applyFill="1" applyAlignment="1">
      <alignment horizontal="center"/>
    </xf>
    <xf numFmtId="0" fontId="3" fillId="0" borderId="0" xfId="0" applyFont="1" applyFill="1" applyAlignment="1">
      <alignment horizontal="left" vertical="top" wrapText="1"/>
    </xf>
    <xf numFmtId="0" fontId="3" fillId="0" borderId="0" xfId="0" applyFont="1" applyFill="1" applyBorder="1" applyAlignment="1">
      <alignment horizontal="center"/>
    </xf>
    <xf numFmtId="0" fontId="46" fillId="0" borderId="0" xfId="0" applyFont="1" applyFill="1" applyBorder="1" applyAlignment="1">
      <alignment horizontal="center"/>
    </xf>
    <xf numFmtId="0" fontId="79" fillId="0" borderId="0" xfId="0" applyFont="1" applyFill="1" applyBorder="1" applyAlignment="1">
      <alignment horizontal="center"/>
    </xf>
    <xf numFmtId="0" fontId="0" fillId="0" borderId="34" xfId="0" applyFill="1" applyBorder="1" applyAlignment="1">
      <alignment horizontal="center"/>
    </xf>
    <xf numFmtId="0" fontId="0" fillId="0" borderId="27" xfId="0" applyFill="1" applyBorder="1" applyAlignment="1">
      <alignment horizontal="center" wrapText="1"/>
    </xf>
    <xf numFmtId="0" fontId="0" fillId="0" borderId="5" xfId="0" applyFill="1" applyBorder="1" applyAlignment="1">
      <alignment horizontal="center" wrapText="1"/>
    </xf>
    <xf numFmtId="0" fontId="0" fillId="0" borderId="19" xfId="0" applyFill="1" applyBorder="1" applyAlignment="1">
      <alignment horizontal="center" wrapText="1"/>
    </xf>
    <xf numFmtId="0" fontId="0" fillId="0" borderId="21" xfId="0" applyFill="1" applyBorder="1" applyAlignment="1">
      <alignment horizontal="center" wrapText="1"/>
    </xf>
    <xf numFmtId="0" fontId="18" fillId="0" borderId="0" xfId="5" applyAlignment="1">
      <alignment horizontal="center"/>
    </xf>
    <xf numFmtId="0" fontId="0" fillId="0" borderId="0" xfId="0" applyAlignment="1">
      <alignment horizontal="left" vertical="top" wrapText="1"/>
    </xf>
    <xf numFmtId="0" fontId="3" fillId="41" borderId="18" xfId="0" applyFont="1" applyFill="1" applyBorder="1" applyAlignment="1">
      <alignment horizontal="center" wrapText="1"/>
    </xf>
    <xf numFmtId="0" fontId="3" fillId="41" borderId="27" xfId="0" applyFont="1" applyFill="1" applyBorder="1" applyAlignment="1">
      <alignment horizontal="center" wrapText="1"/>
    </xf>
    <xf numFmtId="0" fontId="3" fillId="41" borderId="1" xfId="0" applyFont="1" applyFill="1" applyBorder="1" applyAlignment="1">
      <alignment horizontal="center" wrapText="1"/>
    </xf>
    <xf numFmtId="0" fontId="3" fillId="41" borderId="0" xfId="0" applyFont="1" applyFill="1" applyBorder="1" applyAlignment="1">
      <alignment horizontal="center" wrapText="1"/>
    </xf>
    <xf numFmtId="0" fontId="0" fillId="44" borderId="18" xfId="0" applyFill="1" applyBorder="1" applyAlignment="1">
      <alignment horizontal="center"/>
    </xf>
    <xf numFmtId="0" fontId="0" fillId="44" borderId="17" xfId="0" applyFill="1" applyBorder="1" applyAlignment="1">
      <alignment horizontal="center"/>
    </xf>
    <xf numFmtId="0" fontId="0" fillId="44" borderId="19" xfId="0" applyFill="1" applyBorder="1" applyAlignment="1">
      <alignment horizontal="center"/>
    </xf>
    <xf numFmtId="0" fontId="0" fillId="41" borderId="18" xfId="0" applyFont="1" applyFill="1" applyBorder="1" applyAlignment="1">
      <alignment horizontal="center"/>
    </xf>
    <xf numFmtId="0" fontId="0" fillId="41" borderId="27" xfId="0" applyFont="1" applyFill="1" applyBorder="1" applyAlignment="1">
      <alignment horizontal="center"/>
    </xf>
    <xf numFmtId="0" fontId="0" fillId="41" borderId="17" xfId="0" applyFont="1" applyFill="1" applyBorder="1" applyAlignment="1">
      <alignment horizontal="center"/>
    </xf>
    <xf numFmtId="0" fontId="0" fillId="41" borderId="18" xfId="0" applyFont="1" applyFill="1" applyBorder="1" applyAlignment="1">
      <alignment horizontal="center" wrapText="1"/>
    </xf>
    <xf numFmtId="0" fontId="0" fillId="41" borderId="27" xfId="0" applyFont="1" applyFill="1" applyBorder="1" applyAlignment="1">
      <alignment horizontal="center" wrapText="1"/>
    </xf>
    <xf numFmtId="0" fontId="0" fillId="41" borderId="19" xfId="0" applyFont="1" applyFill="1" applyBorder="1" applyAlignment="1">
      <alignment horizontal="center" wrapText="1"/>
    </xf>
    <xf numFmtId="0" fontId="0" fillId="41" borderId="18" xfId="0" applyFill="1" applyBorder="1" applyAlignment="1">
      <alignment horizontal="center"/>
    </xf>
    <xf numFmtId="0" fontId="0" fillId="41" borderId="19" xfId="0" applyFill="1" applyBorder="1" applyAlignment="1">
      <alignment horizontal="center"/>
    </xf>
    <xf numFmtId="0" fontId="15" fillId="0" borderId="0" xfId="0" applyFont="1" applyFill="1" applyAlignment="1">
      <alignment horizontal="center"/>
    </xf>
    <xf numFmtId="0" fontId="15" fillId="0" borderId="0" xfId="0" applyFont="1" applyAlignment="1">
      <alignment horizontal="left" vertical="top" wrapText="1"/>
    </xf>
    <xf numFmtId="0" fontId="15" fillId="0" borderId="0" xfId="0" applyFont="1" applyAlignment="1">
      <alignment horizontal="left" vertical="top"/>
    </xf>
    <xf numFmtId="0" fontId="49" fillId="3" borderId="0" xfId="0" applyFont="1" applyFill="1" applyAlignment="1">
      <alignment horizontal="center"/>
    </xf>
    <xf numFmtId="0" fontId="15" fillId="41" borderId="18" xfId="0" applyFont="1" applyFill="1" applyBorder="1" applyAlignment="1">
      <alignment horizontal="center"/>
    </xf>
    <xf numFmtId="0" fontId="15" fillId="41" borderId="17" xfId="0" applyFont="1" applyFill="1" applyBorder="1" applyAlignment="1">
      <alignment horizontal="center"/>
    </xf>
    <xf numFmtId="0" fontId="49" fillId="41" borderId="18" xfId="0" applyFont="1" applyFill="1" applyBorder="1" applyAlignment="1">
      <alignment horizontal="center" wrapText="1"/>
    </xf>
    <xf numFmtId="0" fontId="49" fillId="41" borderId="28" xfId="0" applyFont="1" applyFill="1" applyBorder="1" applyAlignment="1">
      <alignment horizontal="center" wrapText="1"/>
    </xf>
    <xf numFmtId="0" fontId="49" fillId="41" borderId="1" xfId="0" applyFont="1" applyFill="1" applyBorder="1" applyAlignment="1">
      <alignment horizontal="center" wrapText="1"/>
    </xf>
    <xf numFmtId="0" fontId="49" fillId="41" borderId="0" xfId="0" applyFont="1" applyFill="1" applyBorder="1" applyAlignment="1">
      <alignment horizontal="center" wrapText="1"/>
    </xf>
    <xf numFmtId="0" fontId="49" fillId="41" borderId="6" xfId="0" applyFont="1" applyFill="1" applyBorder="1" applyAlignment="1">
      <alignment horizontal="center" wrapText="1"/>
    </xf>
    <xf numFmtId="0" fontId="49" fillId="41" borderId="5" xfId="0" applyFont="1" applyFill="1" applyBorder="1" applyAlignment="1">
      <alignment horizontal="center" wrapText="1"/>
    </xf>
    <xf numFmtId="0" fontId="15" fillId="0" borderId="1" xfId="0" applyFont="1" applyFill="1" applyBorder="1" applyAlignment="1">
      <alignment horizontal="center"/>
    </xf>
    <xf numFmtId="0" fontId="15" fillId="0" borderId="0" xfId="0" applyFont="1" applyFill="1" applyBorder="1" applyAlignment="1">
      <alignment horizontal="center"/>
    </xf>
    <xf numFmtId="0" fontId="15" fillId="41" borderId="19" xfId="0" applyFont="1" applyFill="1" applyBorder="1" applyAlignment="1">
      <alignment horizontal="center"/>
    </xf>
    <xf numFmtId="0" fontId="15" fillId="44" borderId="17" xfId="0" applyFont="1" applyFill="1" applyBorder="1" applyAlignment="1">
      <alignment horizontal="center"/>
    </xf>
    <xf numFmtId="0" fontId="15" fillId="44" borderId="19" xfId="0" applyFont="1" applyFill="1" applyBorder="1" applyAlignment="1">
      <alignment horizontal="center"/>
    </xf>
    <xf numFmtId="0" fontId="49" fillId="41" borderId="18" xfId="0" applyFont="1" applyFill="1" applyBorder="1" applyAlignment="1">
      <alignment horizontal="center"/>
    </xf>
    <xf numFmtId="0" fontId="49" fillId="41" borderId="17" xfId="0" applyFont="1" applyFill="1" applyBorder="1" applyAlignment="1">
      <alignment horizontal="center"/>
    </xf>
    <xf numFmtId="0" fontId="49" fillId="44" borderId="33" xfId="0" applyFont="1" applyFill="1" applyBorder="1" applyAlignment="1">
      <alignment horizontal="center"/>
    </xf>
    <xf numFmtId="0" fontId="49" fillId="44" borderId="35" xfId="0" applyFont="1" applyFill="1" applyBorder="1" applyAlignment="1">
      <alignment horizontal="center"/>
    </xf>
    <xf numFmtId="0" fontId="22" fillId="41" borderId="18" xfId="0" applyFont="1" applyFill="1" applyBorder="1" applyAlignment="1">
      <alignment horizontal="center"/>
    </xf>
    <xf numFmtId="0" fontId="22" fillId="41" borderId="19" xfId="0" applyFont="1" applyFill="1" applyBorder="1" applyAlignment="1">
      <alignment horizontal="center"/>
    </xf>
    <xf numFmtId="0" fontId="22" fillId="41" borderId="1" xfId="0" applyFont="1" applyFill="1" applyBorder="1" applyAlignment="1">
      <alignment horizontal="center"/>
    </xf>
    <xf numFmtId="0" fontId="22" fillId="41" borderId="7" xfId="0" applyFont="1" applyFill="1" applyBorder="1" applyAlignment="1">
      <alignment horizontal="center"/>
    </xf>
    <xf numFmtId="0" fontId="22" fillId="41" borderId="6" xfId="0" applyFont="1" applyFill="1" applyBorder="1" applyAlignment="1">
      <alignment horizontal="center"/>
    </xf>
    <xf numFmtId="0" fontId="22" fillId="41" borderId="21" xfId="0" applyFont="1" applyFill="1" applyBorder="1" applyAlignment="1">
      <alignment horizontal="center"/>
    </xf>
    <xf numFmtId="0" fontId="15" fillId="44" borderId="18" xfId="0" applyFont="1" applyFill="1" applyBorder="1" applyAlignment="1">
      <alignment horizontal="center"/>
    </xf>
    <xf numFmtId="0" fontId="49" fillId="0" borderId="0" xfId="0" applyFont="1" applyAlignment="1">
      <alignment horizontal="left" vertical="top" wrapText="1"/>
    </xf>
    <xf numFmtId="0" fontId="49" fillId="44" borderId="18" xfId="0" applyFont="1" applyFill="1" applyBorder="1" applyAlignment="1">
      <alignment horizontal="center"/>
    </xf>
    <xf numFmtId="0" fontId="49" fillId="44" borderId="27" xfId="0" applyFont="1" applyFill="1" applyBorder="1" applyAlignment="1">
      <alignment horizontal="center"/>
    </xf>
    <xf numFmtId="0" fontId="49" fillId="44" borderId="19" xfId="0" applyFont="1" applyFill="1" applyBorder="1" applyAlignment="1">
      <alignment horizontal="center"/>
    </xf>
    <xf numFmtId="0" fontId="15" fillId="44" borderId="27" xfId="0" applyFont="1" applyFill="1" applyBorder="1" applyAlignment="1">
      <alignment horizontal="center"/>
    </xf>
    <xf numFmtId="0" fontId="49" fillId="41" borderId="33" xfId="0" applyFont="1" applyFill="1" applyBorder="1" applyAlignment="1">
      <alignment horizontal="center"/>
    </xf>
    <xf numFmtId="0" fontId="49" fillId="41" borderId="34" xfId="0" applyFont="1" applyFill="1" applyBorder="1" applyAlignment="1">
      <alignment horizontal="center"/>
    </xf>
    <xf numFmtId="0" fontId="49" fillId="41" borderId="35" xfId="0" applyFont="1" applyFill="1" applyBorder="1" applyAlignment="1">
      <alignment horizontal="center"/>
    </xf>
    <xf numFmtId="0" fontId="15" fillId="0" borderId="7" xfId="0" applyFont="1" applyFill="1" applyBorder="1" applyAlignment="1">
      <alignment horizontal="center" wrapText="1"/>
    </xf>
    <xf numFmtId="0" fontId="49" fillId="0" borderId="0" xfId="0" applyFont="1" applyFill="1" applyBorder="1" applyAlignment="1">
      <alignment horizontal="center"/>
    </xf>
    <xf numFmtId="0" fontId="15" fillId="0" borderId="1" xfId="0" applyFont="1" applyBorder="1" applyAlignment="1">
      <alignment horizontal="left" vertical="top" wrapText="1"/>
    </xf>
    <xf numFmtId="0" fontId="15" fillId="0" borderId="0" xfId="0" applyFont="1" applyBorder="1" applyAlignment="1">
      <alignment horizontal="left" vertical="top" wrapText="1"/>
    </xf>
    <xf numFmtId="0" fontId="15" fillId="3" borderId="29" xfId="0" applyFont="1" applyFill="1" applyBorder="1" applyAlignment="1">
      <alignment horizontal="center" wrapText="1"/>
    </xf>
    <xf numFmtId="0" fontId="15" fillId="3" borderId="24" xfId="0" applyFont="1" applyFill="1" applyBorder="1" applyAlignment="1">
      <alignment horizontal="center" wrapText="1"/>
    </xf>
    <xf numFmtId="0" fontId="15" fillId="3" borderId="23" xfId="0" applyFont="1" applyFill="1" applyBorder="1" applyAlignment="1">
      <alignment horizontal="center" wrapText="1"/>
    </xf>
    <xf numFmtId="0" fontId="15" fillId="3" borderId="19" xfId="0" applyFont="1" applyFill="1" applyBorder="1" applyAlignment="1">
      <alignment horizontal="center" wrapText="1"/>
    </xf>
    <xf numFmtId="0" fontId="15" fillId="3" borderId="7" xfId="0" applyFont="1" applyFill="1" applyBorder="1" applyAlignment="1">
      <alignment horizontal="center" wrapText="1"/>
    </xf>
    <xf numFmtId="0" fontId="15" fillId="3" borderId="21" xfId="0" applyFont="1" applyFill="1" applyBorder="1" applyAlignment="1">
      <alignment horizontal="center" wrapText="1"/>
    </xf>
    <xf numFmtId="0" fontId="49" fillId="49" borderId="33" xfId="0" applyFont="1" applyFill="1" applyBorder="1" applyAlignment="1">
      <alignment horizontal="center" vertical="center" wrapText="1"/>
    </xf>
    <xf numFmtId="0" fontId="49" fillId="49" borderId="34" xfId="0" applyFont="1" applyFill="1" applyBorder="1" applyAlignment="1">
      <alignment horizontal="center" vertical="center" wrapText="1"/>
    </xf>
    <xf numFmtId="0" fontId="49" fillId="49" borderId="27" xfId="0" applyFont="1" applyFill="1" applyBorder="1" applyAlignment="1">
      <alignment horizontal="center" vertical="center" wrapText="1"/>
    </xf>
    <xf numFmtId="0" fontId="49" fillId="49" borderId="19" xfId="0" applyFont="1" applyFill="1" applyBorder="1" applyAlignment="1">
      <alignment horizontal="center" vertical="center" wrapText="1"/>
    </xf>
    <xf numFmtId="0" fontId="49" fillId="0" borderId="1" xfId="0" applyFont="1" applyBorder="1" applyAlignment="1">
      <alignment horizontal="center" wrapText="1"/>
    </xf>
    <xf numFmtId="0" fontId="15" fillId="0" borderId="0" xfId="0" applyFont="1" applyBorder="1" applyAlignment="1">
      <alignment horizontal="center" wrapText="1"/>
    </xf>
    <xf numFmtId="0" fontId="22" fillId="41" borderId="18" xfId="0" applyFont="1" applyFill="1" applyBorder="1" applyAlignment="1">
      <alignment horizontal="center" vertical="center" wrapText="1"/>
    </xf>
    <xf numFmtId="0" fontId="22" fillId="41" borderId="19" xfId="0" applyFont="1" applyFill="1" applyBorder="1" applyAlignment="1">
      <alignment horizontal="center" vertical="center" wrapText="1"/>
    </xf>
    <xf numFmtId="0" fontId="22" fillId="41" borderId="1" xfId="0" applyFont="1" applyFill="1" applyBorder="1" applyAlignment="1">
      <alignment horizontal="center" vertical="center" wrapText="1"/>
    </xf>
    <xf numFmtId="0" fontId="22" fillId="41" borderId="7" xfId="0" applyFont="1" applyFill="1" applyBorder="1" applyAlignment="1">
      <alignment horizontal="center" vertical="center" wrapText="1"/>
    </xf>
    <xf numFmtId="0" fontId="49" fillId="41" borderId="19" xfId="0" applyFont="1" applyFill="1" applyBorder="1" applyAlignment="1">
      <alignment horizontal="center"/>
    </xf>
    <xf numFmtId="0" fontId="15" fillId="41" borderId="27" xfId="0" applyFont="1" applyFill="1" applyBorder="1" applyAlignment="1">
      <alignment horizontal="center"/>
    </xf>
    <xf numFmtId="0" fontId="49" fillId="0" borderId="1" xfId="0" applyFont="1" applyFill="1" applyBorder="1" applyAlignment="1">
      <alignment horizontal="center" vertical="top" wrapText="1"/>
    </xf>
    <xf numFmtId="0" fontId="49" fillId="0" borderId="0" xfId="0" applyFont="1" applyFill="1" applyBorder="1" applyAlignment="1">
      <alignment horizontal="center" vertical="top" wrapText="1"/>
    </xf>
    <xf numFmtId="0" fontId="49" fillId="0" borderId="0" xfId="0" applyFont="1" applyAlignment="1">
      <alignment horizontal="left" wrapText="1"/>
    </xf>
    <xf numFmtId="0" fontId="22" fillId="41" borderId="17" xfId="0" applyFont="1" applyFill="1" applyBorder="1" applyAlignment="1">
      <alignment horizontal="center"/>
    </xf>
    <xf numFmtId="0" fontId="22" fillId="41" borderId="0" xfId="0" applyFont="1" applyFill="1" applyBorder="1" applyAlignment="1">
      <alignment horizontal="center"/>
    </xf>
    <xf numFmtId="0" fontId="22" fillId="41" borderId="5" xfId="0" applyFont="1" applyFill="1" applyBorder="1" applyAlignment="1">
      <alignment horizontal="center"/>
    </xf>
    <xf numFmtId="0" fontId="49" fillId="41" borderId="2" xfId="0" applyFont="1" applyFill="1" applyBorder="1" applyAlignment="1">
      <alignment horizontal="center"/>
    </xf>
    <xf numFmtId="0" fontId="49" fillId="41" borderId="3" xfId="0" applyFont="1" applyFill="1" applyBorder="1" applyAlignment="1">
      <alignment horizontal="center"/>
    </xf>
    <xf numFmtId="0" fontId="49" fillId="41" borderId="4" xfId="0" applyFont="1" applyFill="1" applyBorder="1" applyAlignment="1">
      <alignment horizontal="center"/>
    </xf>
    <xf numFmtId="0" fontId="49" fillId="44" borderId="20" xfId="0" applyFont="1" applyFill="1" applyBorder="1" applyAlignment="1">
      <alignment horizontal="center"/>
    </xf>
    <xf numFmtId="0" fontId="49" fillId="44" borderId="34" xfId="0" applyFont="1" applyFill="1" applyBorder="1" applyAlignment="1">
      <alignment horizontal="center"/>
    </xf>
    <xf numFmtId="0" fontId="15" fillId="44" borderId="1" xfId="0" applyFont="1" applyFill="1" applyBorder="1" applyAlignment="1">
      <alignment horizontal="center"/>
    </xf>
    <xf numFmtId="0" fontId="15" fillId="44" borderId="7" xfId="0" applyFont="1" applyFill="1" applyBorder="1" applyAlignment="1">
      <alignment horizontal="center"/>
    </xf>
    <xf numFmtId="0" fontId="49" fillId="0" borderId="18" xfId="0" applyFont="1" applyBorder="1" applyAlignment="1">
      <alignment horizontal="center" vertical="top" wrapText="1"/>
    </xf>
    <xf numFmtId="0" fontId="49" fillId="0" borderId="27" xfId="0" applyFont="1" applyBorder="1" applyAlignment="1">
      <alignment horizontal="center" vertical="top" wrapText="1"/>
    </xf>
    <xf numFmtId="0" fontId="15" fillId="44" borderId="0" xfId="0" applyFont="1" applyFill="1" applyBorder="1" applyAlignment="1">
      <alignment horizontal="center"/>
    </xf>
    <xf numFmtId="0" fontId="49" fillId="0" borderId="18" xfId="0" applyFont="1" applyBorder="1" applyAlignment="1">
      <alignment horizontal="center" wrapText="1"/>
    </xf>
    <xf numFmtId="0" fontId="49" fillId="0" borderId="27" xfId="0" applyFont="1" applyBorder="1" applyAlignment="1">
      <alignment horizontal="center" wrapText="1"/>
    </xf>
    <xf numFmtId="0" fontId="49" fillId="0" borderId="1" xfId="0" applyFont="1" applyBorder="1" applyAlignment="1">
      <alignment horizontal="center" vertical="top" wrapText="1"/>
    </xf>
    <xf numFmtId="0" fontId="49" fillId="0" borderId="0" xfId="0" applyFont="1" applyBorder="1" applyAlignment="1">
      <alignment horizontal="center" vertical="top" wrapText="1"/>
    </xf>
    <xf numFmtId="0" fontId="49" fillId="0" borderId="19" xfId="0" applyFont="1" applyBorder="1" applyAlignment="1">
      <alignment horizontal="center" vertical="top" wrapText="1"/>
    </xf>
    <xf numFmtId="0" fontId="22" fillId="41" borderId="26" xfId="0" applyFont="1" applyFill="1" applyBorder="1" applyAlignment="1">
      <alignment horizontal="center"/>
    </xf>
    <xf numFmtId="0" fontId="22" fillId="41" borderId="0" xfId="0" applyFont="1" applyFill="1" applyAlignment="1">
      <alignment horizontal="center"/>
    </xf>
    <xf numFmtId="0" fontId="15" fillId="0" borderId="1" xfId="0" applyFont="1" applyBorder="1" applyAlignment="1">
      <alignment horizontal="left" wrapText="1" indent="3"/>
    </xf>
    <xf numFmtId="0" fontId="15" fillId="0" borderId="0" xfId="0" applyFont="1" applyBorder="1" applyAlignment="1">
      <alignment horizontal="left" wrapText="1" indent="3"/>
    </xf>
    <xf numFmtId="0" fontId="15" fillId="0" borderId="7" xfId="0" applyFont="1" applyBorder="1" applyAlignment="1">
      <alignment horizontal="left" wrapText="1" indent="3"/>
    </xf>
    <xf numFmtId="0" fontId="15" fillId="0" borderId="6" xfId="0" applyFont="1" applyBorder="1" applyAlignment="1">
      <alignment horizontal="left" wrapText="1"/>
    </xf>
    <xf numFmtId="0" fontId="15" fillId="0" borderId="5" xfId="0" applyFont="1" applyBorder="1" applyAlignment="1">
      <alignment horizontal="left" wrapText="1"/>
    </xf>
    <xf numFmtId="0" fontId="15" fillId="0" borderId="21" xfId="0" applyFont="1" applyBorder="1" applyAlignment="1">
      <alignment horizontal="left" wrapText="1"/>
    </xf>
    <xf numFmtId="0" fontId="15" fillId="49" borderId="1" xfId="0" applyFont="1" applyFill="1" applyBorder="1" applyAlignment="1">
      <alignment horizontal="left" wrapText="1" indent="3"/>
    </xf>
    <xf numFmtId="0" fontId="15" fillId="49" borderId="0" xfId="0" applyFont="1" applyFill="1" applyBorder="1" applyAlignment="1">
      <alignment horizontal="left" wrapText="1" indent="3"/>
    </xf>
    <xf numFmtId="0" fontId="15" fillId="49" borderId="7" xfId="0" applyFont="1" applyFill="1" applyBorder="1" applyAlignment="1">
      <alignment horizontal="left" wrapText="1" indent="3"/>
    </xf>
    <xf numFmtId="0" fontId="15" fillId="0" borderId="1" xfId="0" applyFont="1" applyBorder="1" applyAlignment="1">
      <alignment horizontal="left" wrapText="1"/>
    </xf>
    <xf numFmtId="0" fontId="15" fillId="0" borderId="0" xfId="0" applyFont="1" applyBorder="1" applyAlignment="1">
      <alignment horizontal="left" wrapText="1"/>
    </xf>
    <xf numFmtId="0" fontId="15" fillId="0" borderId="7" xfId="0" applyFont="1" applyBorder="1" applyAlignment="1">
      <alignment horizontal="left" wrapText="1"/>
    </xf>
    <xf numFmtId="0" fontId="22" fillId="41" borderId="28" xfId="0" applyFont="1" applyFill="1" applyBorder="1" applyAlignment="1">
      <alignment horizontal="center"/>
    </xf>
    <xf numFmtId="0" fontId="15" fillId="49" borderId="1" xfId="0" applyFont="1" applyFill="1" applyBorder="1" applyAlignment="1">
      <alignment horizontal="left" vertical="top" wrapText="1" indent="3"/>
    </xf>
    <xf numFmtId="0" fontId="15" fillId="49" borderId="0" xfId="0" applyFont="1" applyFill="1" applyBorder="1" applyAlignment="1">
      <alignment horizontal="left" vertical="top" wrapText="1" indent="3"/>
    </xf>
    <xf numFmtId="0" fontId="15" fillId="49" borderId="7" xfId="0" applyFont="1" applyFill="1" applyBorder="1" applyAlignment="1">
      <alignment horizontal="left" vertical="top" wrapText="1" indent="3"/>
    </xf>
    <xf numFmtId="0" fontId="0" fillId="41" borderId="29" xfId="0" applyFill="1" applyBorder="1" applyAlignment="1">
      <alignment horizontal="center"/>
    </xf>
    <xf numFmtId="0" fontId="0" fillId="41" borderId="23" xfId="0" applyFill="1" applyBorder="1" applyAlignment="1">
      <alignment horizontal="center"/>
    </xf>
    <xf numFmtId="0" fontId="0" fillId="0" borderId="0" xfId="0" applyBorder="1" applyAlignment="1">
      <alignment horizontal="center"/>
    </xf>
    <xf numFmtId="0" fontId="0" fillId="41" borderId="27" xfId="0" applyFill="1" applyBorder="1" applyAlignment="1">
      <alignment horizontal="center"/>
    </xf>
    <xf numFmtId="0" fontId="3" fillId="0" borderId="0" xfId="0" applyFont="1" applyBorder="1" applyAlignment="1">
      <alignment horizontal="center"/>
    </xf>
    <xf numFmtId="0" fontId="49" fillId="49" borderId="0" xfId="0" applyFont="1" applyFill="1" applyAlignment="1">
      <alignment horizontal="center"/>
    </xf>
    <xf numFmtId="0" fontId="15" fillId="0" borderId="5" xfId="0" applyFont="1" applyBorder="1" applyAlignment="1">
      <alignment horizontal="left" vertical="top" wrapText="1"/>
    </xf>
    <xf numFmtId="0" fontId="15" fillId="0" borderId="27" xfId="0" applyFont="1" applyBorder="1" applyAlignment="1">
      <alignment horizontal="left" vertical="top" wrapText="1"/>
    </xf>
    <xf numFmtId="0" fontId="21" fillId="41" borderId="18" xfId="0" applyFont="1" applyFill="1" applyBorder="1" applyAlignment="1">
      <alignment horizontal="center"/>
    </xf>
    <xf numFmtId="0" fontId="21" fillId="41" borderId="27" xfId="0" applyFont="1" applyFill="1" applyBorder="1" applyAlignment="1">
      <alignment horizontal="center"/>
    </xf>
    <xf numFmtId="0" fontId="21" fillId="41" borderId="28" xfId="0" applyFont="1" applyFill="1" applyBorder="1" applyAlignment="1">
      <alignment horizontal="center"/>
    </xf>
    <xf numFmtId="0" fontId="15" fillId="41" borderId="28" xfId="0" applyFont="1" applyFill="1" applyBorder="1" applyAlignment="1">
      <alignment horizontal="center"/>
    </xf>
    <xf numFmtId="0" fontId="49" fillId="0" borderId="17" xfId="0" applyFont="1" applyBorder="1" applyAlignment="1">
      <alignment horizontal="center"/>
    </xf>
    <xf numFmtId="0" fontId="22" fillId="0" borderId="18" xfId="0" applyFont="1" applyFill="1" applyBorder="1" applyAlignment="1">
      <alignment horizontal="center"/>
    </xf>
    <xf numFmtId="0" fontId="22" fillId="0" borderId="17" xfId="0" applyFont="1" applyFill="1" applyBorder="1" applyAlignment="1">
      <alignment horizontal="center"/>
    </xf>
    <xf numFmtId="0" fontId="49" fillId="0" borderId="26" xfId="0" applyFont="1" applyBorder="1" applyAlignment="1">
      <alignment horizontal="center"/>
    </xf>
    <xf numFmtId="0" fontId="63" fillId="51" borderId="25" xfId="0" applyFont="1" applyFill="1" applyBorder="1" applyAlignment="1">
      <alignment horizontal="center"/>
    </xf>
    <xf numFmtId="0" fontId="49" fillId="41" borderId="33" xfId="0" applyFont="1" applyFill="1" applyBorder="1" applyAlignment="1">
      <alignment horizontal="center" wrapText="1"/>
    </xf>
    <xf numFmtId="0" fontId="49" fillId="41" borderId="34" xfId="0" applyFont="1" applyFill="1" applyBorder="1" applyAlignment="1">
      <alignment horizontal="center" wrapText="1"/>
    </xf>
    <xf numFmtId="0" fontId="49" fillId="41" borderId="35" xfId="0" applyFont="1" applyFill="1" applyBorder="1" applyAlignment="1">
      <alignment horizontal="center" wrapText="1"/>
    </xf>
    <xf numFmtId="0" fontId="49" fillId="0" borderId="18" xfId="0" applyFont="1" applyBorder="1" applyAlignment="1">
      <alignment horizontal="center"/>
    </xf>
    <xf numFmtId="0" fontId="49" fillId="0" borderId="19" xfId="0" applyFont="1" applyBorder="1" applyAlignment="1">
      <alignment horizontal="center"/>
    </xf>
    <xf numFmtId="0" fontId="49" fillId="0" borderId="6" xfId="0" applyFont="1" applyBorder="1" applyAlignment="1">
      <alignment horizontal="center"/>
    </xf>
    <xf numFmtId="0" fontId="49" fillId="0" borderId="21" xfId="0" applyFont="1" applyBorder="1" applyAlignment="1">
      <alignment horizontal="center"/>
    </xf>
    <xf numFmtId="0" fontId="15" fillId="44" borderId="46" xfId="0" applyFont="1" applyFill="1" applyBorder="1" applyAlignment="1">
      <alignment horizontal="center"/>
    </xf>
    <xf numFmtId="0" fontId="49" fillId="0" borderId="18" xfId="0" applyFont="1" applyBorder="1" applyAlignment="1">
      <alignment horizontal="left"/>
    </xf>
    <xf numFmtId="0" fontId="49" fillId="0" borderId="19" xfId="0" applyFont="1" applyBorder="1" applyAlignment="1">
      <alignment horizontal="left"/>
    </xf>
    <xf numFmtId="0" fontId="49" fillId="0" borderId="1" xfId="0" applyFont="1" applyBorder="1" applyAlignment="1">
      <alignment horizontal="center"/>
    </xf>
    <xf numFmtId="0" fontId="49" fillId="0" borderId="46" xfId="0" applyFont="1" applyBorder="1" applyAlignment="1">
      <alignment horizontal="center"/>
    </xf>
    <xf numFmtId="0" fontId="21" fillId="0" borderId="0" xfId="0" applyNumberFormat="1" applyFont="1" applyFill="1" applyAlignment="1">
      <alignment horizontal="left" vertical="center" wrapText="1"/>
    </xf>
    <xf numFmtId="3" fontId="22" fillId="0" borderId="0" xfId="0" applyNumberFormat="1" applyFont="1" applyFill="1" applyBorder="1" applyAlignment="1">
      <alignment horizontal="left" wrapText="1"/>
    </xf>
    <xf numFmtId="3" fontId="22" fillId="0" borderId="0" xfId="0" applyNumberFormat="1" applyFont="1" applyFill="1" applyBorder="1" applyAlignment="1">
      <alignment horizontal="left"/>
    </xf>
    <xf numFmtId="0" fontId="21" fillId="0" borderId="5" xfId="0" applyNumberFormat="1" applyFont="1" applyFill="1" applyBorder="1" applyAlignment="1">
      <alignment horizontal="center"/>
    </xf>
    <xf numFmtId="0" fontId="21" fillId="0" borderId="5" xfId="0" applyFont="1" applyBorder="1" applyAlignment="1">
      <alignment horizontal="center"/>
    </xf>
    <xf numFmtId="0" fontId="21" fillId="0" borderId="0" xfId="0" applyNumberFormat="1" applyFont="1" applyFill="1" applyAlignment="1">
      <alignment vertical="center" wrapText="1"/>
    </xf>
    <xf numFmtId="0" fontId="21" fillId="0" borderId="0" xfId="0" applyNumberFormat="1" applyFont="1" applyFill="1" applyAlignment="1">
      <alignment vertical="center"/>
    </xf>
    <xf numFmtId="0" fontId="21" fillId="50" borderId="0" xfId="0" applyNumberFormat="1" applyFont="1" applyFill="1" applyAlignment="1">
      <alignment horizontal="left" vertical="top" wrapText="1"/>
    </xf>
    <xf numFmtId="0" fontId="21" fillId="0" borderId="0" xfId="0" applyNumberFormat="1" applyFont="1" applyFill="1" applyAlignment="1">
      <alignment horizontal="left" vertical="top" wrapText="1"/>
    </xf>
    <xf numFmtId="0" fontId="49" fillId="45" borderId="0" xfId="0" applyFont="1" applyFill="1" applyAlignment="1">
      <alignment horizontal="center"/>
    </xf>
    <xf numFmtId="0" fontId="4" fillId="0" borderId="0" xfId="0" applyFont="1" applyFill="1" applyAlignment="1">
      <alignment horizontal="center" wrapText="1"/>
    </xf>
    <xf numFmtId="0" fontId="4" fillId="4" borderId="0" xfId="0" applyFont="1" applyFill="1" applyAlignment="1">
      <alignment horizontal="center" wrapText="1"/>
    </xf>
    <xf numFmtId="0" fontId="4" fillId="5" borderId="0" xfId="0" applyFont="1" applyFill="1" applyAlignment="1">
      <alignment wrapText="1"/>
    </xf>
    <xf numFmtId="0" fontId="0" fillId="0" borderId="0" xfId="0" applyAlignment="1">
      <alignment wrapText="1"/>
    </xf>
    <xf numFmtId="0" fontId="4" fillId="6" borderId="0" xfId="0" applyFont="1" applyFill="1" applyAlignment="1">
      <alignment horizontal="center" wrapText="1"/>
    </xf>
    <xf numFmtId="0" fontId="0" fillId="50" borderId="0" xfId="0" applyFill="1" applyAlignment="1">
      <alignment horizontal="center" wrapText="1"/>
    </xf>
    <xf numFmtId="0" fontId="4" fillId="7" borderId="0" xfId="0" applyFont="1" applyFill="1" applyAlignment="1">
      <alignment horizontal="center" wrapText="1"/>
    </xf>
  </cellXfs>
  <cellStyles count="522">
    <cellStyle name="20% - Accent1 2" xfId="193" xr:uid="{38326FD8-A508-459D-AF81-EB2647B67205}"/>
    <cellStyle name="20% - Accent2 2" xfId="194" xr:uid="{DE0E1AF2-D562-41DB-BD33-85FF8AED421F}"/>
    <cellStyle name="20% - Accent3 2" xfId="195" xr:uid="{B6DC9C53-ECC2-4F35-A439-D3089D277DF4}"/>
    <cellStyle name="20% - Accent4 2" xfId="196" xr:uid="{171AF6A6-897E-4BFB-A5A2-74B8CE9EA59F}"/>
    <cellStyle name="20% - Accent5 2" xfId="197" xr:uid="{BD37EADD-A2D6-4376-BA28-3732D4012082}"/>
    <cellStyle name="20% - Accent6 2" xfId="198" xr:uid="{67292460-E414-4EA8-A6AE-9ADCEA22F2DE}"/>
    <cellStyle name="40% - Accent1 2" xfId="199" xr:uid="{DA54B7B1-BC2C-4C66-BC4F-49C9DFCE7F60}"/>
    <cellStyle name="40% - Accent2 2" xfId="200" xr:uid="{BCFDEF55-55D6-4D97-B29F-AEA95EF45346}"/>
    <cellStyle name="40% - Accent3 2" xfId="201" xr:uid="{DA2CBCE6-E830-4899-A385-4806248D2ABC}"/>
    <cellStyle name="40% - Accent4 2" xfId="202" xr:uid="{3E2FD097-0334-44C4-8DAB-05D8C9A54043}"/>
    <cellStyle name="40% - Accent5 2" xfId="203" xr:uid="{6E968C45-F25D-4649-8820-3FFDE17D3BA6}"/>
    <cellStyle name="40% - Accent6 2" xfId="204" xr:uid="{019E3A82-B6E6-46DF-B3E6-0193961D06F0}"/>
    <cellStyle name="60% - Accent1 2" xfId="205" xr:uid="{5B628681-5EE5-4DE9-A74B-97B2A0DF712D}"/>
    <cellStyle name="60% - Accent2 2" xfId="206" xr:uid="{1664DC69-5615-4BD8-AAD6-BD70D2279B89}"/>
    <cellStyle name="60% - Accent3 2" xfId="207" xr:uid="{E6E7CBF2-4087-4D81-868D-26016CD99E70}"/>
    <cellStyle name="60% - Accent4 2" xfId="208" xr:uid="{EAFFA50E-B455-475C-B193-53A8B5F9B662}"/>
    <cellStyle name="60% - Accent5 2" xfId="209" xr:uid="{39BD029F-66FE-42EE-BDF0-C1973453E161}"/>
    <cellStyle name="60% - Accent6 2" xfId="210" xr:uid="{4E4EEA91-4FB7-48D2-BDDF-5C652DB0588F}"/>
    <cellStyle name="Accent1 2" xfId="211" xr:uid="{D7799B0C-BF6B-4E39-9CA7-AC9E7170F979}"/>
    <cellStyle name="Accent2 2" xfId="212" xr:uid="{6FF374CC-3544-4EB0-81B7-8E99D6605942}"/>
    <cellStyle name="Accent3 2" xfId="213" xr:uid="{6F44C3AF-B663-4A30-9B2A-A9094E5427E9}"/>
    <cellStyle name="Accent4 2" xfId="214" xr:uid="{A0D9913F-DF11-4B4E-AB64-BE36FC9A80F1}"/>
    <cellStyle name="Accent5 2" xfId="215" xr:uid="{CC5FA4C9-57E9-4273-AF13-F733A87B5409}"/>
    <cellStyle name="Accent6 2" xfId="216" xr:uid="{847B7F49-6710-4107-BB83-611E60581479}"/>
    <cellStyle name="Bad 2" xfId="217" xr:uid="{0DC8C8AC-31FB-4D4E-807B-53FA620C628D}"/>
    <cellStyle name="Calculation 2" xfId="218" xr:uid="{B966BC38-230E-40D3-A2A0-5DA85A79EF14}"/>
    <cellStyle name="Check Cell 2" xfId="219" xr:uid="{E482E5DB-8963-447A-A060-2314ED218D2B}"/>
    <cellStyle name="Comma" xfId="1" builtinId="3"/>
    <cellStyle name="Comma 2" xfId="4" xr:uid="{462961D8-BC9F-409F-AA9C-0D76754B6857}"/>
    <cellStyle name="Comma 2 2" xfId="13" xr:uid="{C5541996-E085-43AD-9F32-DF40F6B5A2B6}"/>
    <cellStyle name="Comma 2 3" xfId="220" xr:uid="{F67E6628-B943-4ED3-A828-0501F1A87E8F}"/>
    <cellStyle name="Comma 2 4" xfId="221" xr:uid="{13BBA5BA-067F-4D5C-9B57-025D0459B5ED}"/>
    <cellStyle name="Comma 2 5" xfId="222" xr:uid="{E6369652-5D3F-465A-83E0-0FD77522CC5A}"/>
    <cellStyle name="Comma 2 6" xfId="223" xr:uid="{03137294-83FB-42DC-8942-F2067C696527}"/>
    <cellStyle name="Comma 2 7" xfId="505" xr:uid="{BFFE9623-8751-4708-BCE3-ED7B1B927784}"/>
    <cellStyle name="Comma 3" xfId="14" xr:uid="{5A151B04-5F2A-4B96-97AD-B603C5A03018}"/>
    <cellStyle name="Comma 4" xfId="224" xr:uid="{59FFF6B0-ADA3-44FA-AF2D-DCD7AD3C7D9F}"/>
    <cellStyle name="Comma 5" xfId="508" xr:uid="{FC7030E2-F068-490E-877E-7D8865DCCBF2}"/>
    <cellStyle name="Comma 6" xfId="513" xr:uid="{6E6CFC3B-6E0A-452E-8D9D-BF2C7225E85B}"/>
    <cellStyle name="Comma 6 2" xfId="520" xr:uid="{EA70AEA6-0210-45C0-849D-9E0B6417B857}"/>
    <cellStyle name="Comma 9" xfId="225" xr:uid="{707B8207-536E-484B-BEE1-8E5795F40DE1}"/>
    <cellStyle name="Comma0" xfId="226" xr:uid="{8C1D65A0-DFA3-459C-BBE4-97F73B52D187}"/>
    <cellStyle name="Currency 2" xfId="227" xr:uid="{3A5A59FF-9EFC-476E-85F1-A1997B7C34ED}"/>
    <cellStyle name="Currency 3" xfId="228" xr:uid="{019DF266-C3E0-406E-B8E3-6FE1BCB3A7B0}"/>
    <cellStyle name="Currency0" xfId="502" xr:uid="{03005E60-3B38-4AFF-992B-F04D6DE40598}"/>
    <cellStyle name="Explanatory Text 2" xfId="229" xr:uid="{831D1B9F-F993-4FD1-A9D2-F27545972913}"/>
    <cellStyle name="Good 2" xfId="230" xr:uid="{56424BA4-3A1F-4A2F-A73D-A9461ECE280F}"/>
    <cellStyle name="Heading 1 2" xfId="231" xr:uid="{30A21CF8-48DE-451B-861D-9C2FF5130037}"/>
    <cellStyle name="Heading 2 2" xfId="232" xr:uid="{07029A9C-592B-4B86-A189-10265495C8A5}"/>
    <cellStyle name="Heading 3 2" xfId="233" xr:uid="{EC56B002-D92E-4DA7-9841-BB699AB16466}"/>
    <cellStyle name="Heading 4 2" xfId="234" xr:uid="{ABBA1D7F-6E2C-45A2-9C4B-CAFA15A8ACD3}"/>
    <cellStyle name="Hyperlink" xfId="7" builtinId="8" customBuiltin="1"/>
    <cellStyle name="Hyperlink 2" xfId="15" xr:uid="{F34D76FA-11F6-42EF-A15B-0DF7258C7B47}"/>
    <cellStyle name="Hyperlink 2 2" xfId="515" xr:uid="{AA32A102-D157-4D13-88DE-2C25C1D67A05}"/>
    <cellStyle name="Hyperlink 3" xfId="17" xr:uid="{307CA171-946E-46A4-B8B6-236044592A8B}"/>
    <cellStyle name="Hyperlink 4" xfId="22" xr:uid="{30E84A26-5098-4BBA-859B-3967285A2939}"/>
    <cellStyle name="Hyperlink 5" xfId="315" xr:uid="{3C5A8D2B-9DDD-42A4-A23C-147A59B63A36}"/>
    <cellStyle name="Hyperlink 6" xfId="499" xr:uid="{68D9C9AD-2231-4BA6-8C06-09FF80631235}"/>
    <cellStyle name="Hyperlink 6 2" xfId="510" xr:uid="{56572BCE-BE70-4381-A0CD-D9126F7C4D52}"/>
    <cellStyle name="Hyperlink 7" xfId="516" xr:uid="{41C455E1-BCD9-4D1C-BFE4-4F30E6B4772E}"/>
    <cellStyle name="Input 2" xfId="235" xr:uid="{AE0E62C7-11DD-47A8-A488-62D9700B5642}"/>
    <cellStyle name="Linked Cell 2" xfId="236" xr:uid="{2D58A678-8346-465D-9B1D-4D3CE120D646}"/>
    <cellStyle name="Neutral 2" xfId="237" xr:uid="{6CF03302-6497-491F-98AE-4084A86DBA42}"/>
    <cellStyle name="Normal" xfId="0" builtinId="0"/>
    <cellStyle name="Normal 10" xfId="20" xr:uid="{1FDA8170-03C8-4B5B-8B03-0B7DB26E03D1}"/>
    <cellStyle name="Normal 10 2" xfId="317" xr:uid="{C219DF37-ECAD-4E75-937B-0A2080718FBA}"/>
    <cellStyle name="Normal 11" xfId="238" xr:uid="{4851D1E1-B9BA-4358-B667-C290412A8F82}"/>
    <cellStyle name="Normal 11 2" xfId="239" xr:uid="{9FBED9C3-A46B-4825-8F31-6DCF4D20BB45}"/>
    <cellStyle name="Normal 11 3" xfId="240" xr:uid="{7F81964C-EB96-49B0-82A7-4593F0AEB4A4}"/>
    <cellStyle name="Normal 11 4" xfId="241" xr:uid="{4AB403CE-479E-4BF9-9E54-7FACC5F267D1}"/>
    <cellStyle name="Normal 12" xfId="242" xr:uid="{6F55421C-B698-46E7-86C5-B8A2F3541B5F}"/>
    <cellStyle name="Normal 12 2" xfId="243" xr:uid="{2944F0B8-1D8E-4C4D-A0F9-7E38A0DB2A59}"/>
    <cellStyle name="Normal 12 3" xfId="244" xr:uid="{42C0F2D8-FB31-480E-BA55-CDEC3702B3CC}"/>
    <cellStyle name="Normal 12 4" xfId="245" xr:uid="{2B80E48E-387E-4C1A-83EF-24822421C4BE}"/>
    <cellStyle name="Normal 13" xfId="246" xr:uid="{B1F9457F-618D-42EE-A2A2-16762A842771}"/>
    <cellStyle name="Normal 13 2" xfId="247" xr:uid="{95540F34-F74D-4BEB-9DDA-3D6F8F2F6C5F}"/>
    <cellStyle name="Normal 13 3" xfId="248" xr:uid="{B2388650-27CB-4637-ABA8-654B4A021114}"/>
    <cellStyle name="Normal 13 4" xfId="249" xr:uid="{A029F033-4AD8-4F58-BE7A-E031D1C89B1A}"/>
    <cellStyle name="Normal 14" xfId="250" xr:uid="{6ABF0022-2723-4696-B26C-1F4F54F0E39F}"/>
    <cellStyle name="Normal 14 2" xfId="251" xr:uid="{B8A1AE55-AF34-41F4-B4DA-A018B57FBA8D}"/>
    <cellStyle name="Normal 14 3" xfId="509" xr:uid="{BE38BBB0-36F3-4BDB-BA38-A620B16FCBB1}"/>
    <cellStyle name="Normal 15" xfId="252" xr:uid="{0B9C9B42-FDDF-423E-877B-708648CEAA01}"/>
    <cellStyle name="Normal 16" xfId="253" xr:uid="{2CF6E822-3C77-4D02-A711-BFCACCA172E8}"/>
    <cellStyle name="Normal 17" xfId="254" xr:uid="{4D21714F-4BB7-47AD-B1EC-EDB3270CF8CB}"/>
    <cellStyle name="Normal 18" xfId="255" xr:uid="{AC195D8C-32AC-4BD5-9AD8-628BE240DFE0}"/>
    <cellStyle name="Normal 19" xfId="504" xr:uid="{C8E1172D-7235-4F2A-8F37-88C881498ED1}"/>
    <cellStyle name="Normal 19 2" xfId="514" xr:uid="{2E6778F2-3516-4766-9289-A0C91D9C1275}"/>
    <cellStyle name="Normal 2" xfId="5" xr:uid="{648EA7FC-B72B-4C0D-B33D-07DEEE3117B9}"/>
    <cellStyle name="Normal 2 10" xfId="23" xr:uid="{FF165E77-BFD7-414E-9A99-92832AD247CF}"/>
    <cellStyle name="Normal 2 10 2" xfId="318" xr:uid="{FB2423FD-D333-4E16-9B95-EBB54C7A40BE}"/>
    <cellStyle name="Normal 2 11" xfId="24" xr:uid="{4CB1CCCB-C9BD-45D5-BE6E-38A277043E90}"/>
    <cellStyle name="Normal 2 11 2" xfId="319" xr:uid="{F2B6F855-C66E-457C-9A13-AB5E88328D43}"/>
    <cellStyle name="Normal 2 12" xfId="256" xr:uid="{7A1B5EB6-8700-49A8-A137-304E4BD3B5B4}"/>
    <cellStyle name="Normal 2 13" xfId="257" xr:uid="{7D66DD0E-BACC-4340-ADEF-C0A916EF8DE0}"/>
    <cellStyle name="Normal 2 14" xfId="258" xr:uid="{E0D60BD6-0D1A-49F5-AA3A-D02AD02EFDDF}"/>
    <cellStyle name="Normal 2 15" xfId="259" xr:uid="{6C4CDDF6-EC65-4C4D-ABB1-0857152CC1BB}"/>
    <cellStyle name="Normal 2 16" xfId="260" xr:uid="{8412D8D8-ADD2-472E-89DC-CDC2E73FB1C8}"/>
    <cellStyle name="Normal 2 17" xfId="261" xr:uid="{D5E362D9-BF0D-4D91-9DB7-106C8FB6ACCE}"/>
    <cellStyle name="Normal 2 18" xfId="262" xr:uid="{269B16DA-43AD-4B27-A8CF-D24EC996DDA6}"/>
    <cellStyle name="Normal 2 19" xfId="263" xr:uid="{0147EB6F-FE23-4793-857B-9E447A0FA9C0}"/>
    <cellStyle name="Normal 2 2" xfId="9" xr:uid="{D4A6279C-4DFD-4413-A58B-C84E0587B658}"/>
    <cellStyle name="Normal 2 2 10" xfId="320" xr:uid="{2AA3BD25-4B9D-4CB6-B91D-950A4C5E87F2}"/>
    <cellStyle name="Normal 2 2 2" xfId="25" xr:uid="{1E5A30AE-B248-4291-BFC2-50423413631E}"/>
    <cellStyle name="Normal 2 2 2 2" xfId="26" xr:uid="{8D8AB912-BE91-4E09-A49D-EA2951AEDE10}"/>
    <cellStyle name="Normal 2 2 2 2 2" xfId="321" xr:uid="{19679A50-7D78-472E-9B37-1FB0E1CF32BB}"/>
    <cellStyle name="Normal 2 2 2 3" xfId="27" xr:uid="{6B647A7E-97B4-437C-AC50-6B7D1C0EFF4A}"/>
    <cellStyle name="Normal 2 2 2 3 2" xfId="322" xr:uid="{1CDEE1C1-0128-41B2-A4DA-CB294D8EA206}"/>
    <cellStyle name="Normal 2 2 2 4" xfId="323" xr:uid="{4767E0FD-5F46-4C7F-B396-5D4D8A1DA490}"/>
    <cellStyle name="Normal 2 2 3" xfId="28" xr:uid="{8E51B35A-79BD-462D-80BA-6D3ACAA26EE8}"/>
    <cellStyle name="Normal 2 2 3 2" xfId="29" xr:uid="{55EC944F-7C49-4807-B157-AA5F7EA59A9C}"/>
    <cellStyle name="Normal 2 2 3 2 2" xfId="324" xr:uid="{2C4185AA-943A-4C28-9501-21EE3072DBFE}"/>
    <cellStyle name="Normal 2 2 3 3" xfId="325" xr:uid="{06C1FC6D-8CEC-4986-AE82-05C20AF59FCA}"/>
    <cellStyle name="Normal 2 2 4" xfId="30" xr:uid="{E87919CD-AC25-4FFF-84B8-C135B154811E}"/>
    <cellStyle name="Normal 2 2 4 2" xfId="31" xr:uid="{6BF3780C-3BE1-4478-8412-34C68978C719}"/>
    <cellStyle name="Normal 2 2 4 2 2" xfId="326" xr:uid="{225C67DB-E4D5-41A2-A426-73E37B66463D}"/>
    <cellStyle name="Normal 2 2 4 3" xfId="327" xr:uid="{4096E0A5-0BD4-411C-9D62-96E116C4F046}"/>
    <cellStyle name="Normal 2 2 5" xfId="32" xr:uid="{21A948AC-0EA0-4D98-8F97-D323624CBAEF}"/>
    <cellStyle name="Normal 2 2 5 2" xfId="33" xr:uid="{EBB9AD8D-CD48-4B53-9E13-660FF3210810}"/>
    <cellStyle name="Normal 2 2 5 2 2" xfId="328" xr:uid="{E7273C92-AD53-48D4-BF86-33C20F986897}"/>
    <cellStyle name="Normal 2 2 5 3" xfId="329" xr:uid="{CF7A9075-E7E1-4239-85B9-5F23355DCB34}"/>
    <cellStyle name="Normal 2 2 6" xfId="34" xr:uid="{65C9F236-F05D-46B4-8D97-428B323BB08F}"/>
    <cellStyle name="Normal 2 2 6 2" xfId="330" xr:uid="{FB1389A5-9B75-4D4E-9645-7AF13B4544D1}"/>
    <cellStyle name="Normal 2 2 7" xfId="35" xr:uid="{41DDDCC7-B2C2-405F-87FC-E66B389E37C2}"/>
    <cellStyle name="Normal 2 2 7 2" xfId="331" xr:uid="{BEEC63C5-51B1-4D1D-B62D-C50CC34B6C06}"/>
    <cellStyle name="Normal 2 2 8" xfId="36" xr:uid="{CAAA697D-6E81-4ED4-9FA5-75E6EB516318}"/>
    <cellStyle name="Normal 2 2 8 2" xfId="332" xr:uid="{128DFF67-7F20-465E-AB85-3523B15DC152}"/>
    <cellStyle name="Normal 2 2 9" xfId="333" xr:uid="{3184FA15-0C11-4C83-A861-E80F5F2AB4E6}"/>
    <cellStyle name="Normal 2 20" xfId="264" xr:uid="{E53D17FA-3F32-4CE2-B9A6-71A955E11F7A}"/>
    <cellStyle name="Normal 2 21" xfId="265" xr:uid="{F4200063-EAC6-444F-8509-67A6672F98CF}"/>
    <cellStyle name="Normal 2 22" xfId="266" xr:uid="{297E6408-4AE3-4DAF-8DDD-ED6CF396EDB8}"/>
    <cellStyle name="Normal 2 23" xfId="267" xr:uid="{9ACE3715-6F7F-4E93-9BA3-356212F4118F}"/>
    <cellStyle name="Normal 2 24" xfId="316" xr:uid="{770F592F-C99F-41C4-9E39-65D2FADD939E}"/>
    <cellStyle name="Normal 2 25" xfId="503" xr:uid="{AEB95F0B-9150-4057-AC2F-D5D35279279F}"/>
    <cellStyle name="Normal 2 3" xfId="11" xr:uid="{1302F4C6-B1FB-4FB1-901D-9E227957E370}"/>
    <cellStyle name="Normal 2 3 2" xfId="37" xr:uid="{E6A28B11-A89B-4A29-8B35-590E5424EC48}"/>
    <cellStyle name="Normal 2 3 2 2" xfId="38" xr:uid="{4FD8797A-BFF5-4658-81CB-6639D106193F}"/>
    <cellStyle name="Normal 2 3 2 2 2" xfId="334" xr:uid="{086B3111-6778-475D-9F54-AC8F8FAA3A89}"/>
    <cellStyle name="Normal 2 3 2 3" xfId="39" xr:uid="{AA277259-F270-4B47-BBC5-63E5ECCBDC52}"/>
    <cellStyle name="Normal 2 3 2 3 2" xfId="335" xr:uid="{D10E1172-DDBD-467A-BFDC-CB187205C1BA}"/>
    <cellStyle name="Normal 2 3 2 4" xfId="336" xr:uid="{46203726-3D1B-41F2-A83E-6BADB0137E61}"/>
    <cellStyle name="Normal 2 3 3" xfId="40" xr:uid="{A68E215F-2019-4951-A719-5689B7964A43}"/>
    <cellStyle name="Normal 2 3 4" xfId="41" xr:uid="{9EF4D793-BA06-41ED-94F9-50A8F1AFAAC6}"/>
    <cellStyle name="Normal 2 3 4 2" xfId="337" xr:uid="{35A44FEE-6A27-4FA8-AA15-1BE633416CB1}"/>
    <cellStyle name="Normal 2 3 5" xfId="42" xr:uid="{A7651CD1-DF45-4ED6-A39A-25FC159A92BF}"/>
    <cellStyle name="Normal 2 3 5 2" xfId="338" xr:uid="{8AEA9281-448B-430F-9061-39AF7B3C1210}"/>
    <cellStyle name="Normal 2 3 6" xfId="339" xr:uid="{DF8EFD3B-EFAE-4425-B0B5-9062C5736205}"/>
    <cellStyle name="Normal 2 4" xfId="43" xr:uid="{7551E59A-0251-4BF4-A525-180EFA571D34}"/>
    <cellStyle name="Normal 2 4 2" xfId="44" xr:uid="{DD6CCCAE-A9F4-4A1F-A04E-2FED7F046274}"/>
    <cellStyle name="Normal 2 4 2 2" xfId="340" xr:uid="{3C77B35B-E4B4-4E67-9FCD-380129F0F853}"/>
    <cellStyle name="Normal 2 5" xfId="45" xr:uid="{9274BB90-3972-465D-9423-9DCDF3EE6F57}"/>
    <cellStyle name="Normal 2 5 2" xfId="46" xr:uid="{34BCB4BB-9927-4C8A-8B0C-F37AB1981CEA}"/>
    <cellStyle name="Normal 2 5 2 2" xfId="341" xr:uid="{D8639DBB-1CB5-49D6-8ABF-8701445094E3}"/>
    <cellStyle name="Normal 2 5 3" xfId="342" xr:uid="{94B80BDC-3F11-4819-9649-E111E034319E}"/>
    <cellStyle name="Normal 2 6" xfId="47" xr:uid="{C492B036-8910-4D6D-87DE-FAD7A099592F}"/>
    <cellStyle name="Normal 2 6 2" xfId="48" xr:uid="{4C2D21BF-8032-4170-B378-20BA07056888}"/>
    <cellStyle name="Normal 2 6 2 2" xfId="343" xr:uid="{4B8BE9E8-4B8D-4DCA-95C9-D9C9331482FB}"/>
    <cellStyle name="Normal 2 6 3" xfId="344" xr:uid="{09A03E94-9D07-4AFC-B8C4-5FD973B17F3E}"/>
    <cellStyle name="Normal 2 7" xfId="49" xr:uid="{3FD393D7-D854-4A90-83C6-5E3663740A6E}"/>
    <cellStyle name="Normal 2 7 2" xfId="50" xr:uid="{ADDD8F63-ACDD-4B2D-BA69-E9E9949E538E}"/>
    <cellStyle name="Normal 2 7 2 2" xfId="345" xr:uid="{31658DE6-EA6F-43DA-AE7D-61864F12244C}"/>
    <cellStyle name="Normal 2 7 3" xfId="346" xr:uid="{8239AE11-62FB-4516-98F7-FFA20DC3E46C}"/>
    <cellStyle name="Normal 2 8" xfId="51" xr:uid="{2424C4BE-D5F2-4947-8CF5-6252DBE16E38}"/>
    <cellStyle name="Normal 2 8 2" xfId="52" xr:uid="{54DAAB70-EA66-49FC-AC9A-C3472D77C085}"/>
    <cellStyle name="Normal 2 8 2 2" xfId="347" xr:uid="{94AE288F-5591-434C-A894-8ABEA8CC95AC}"/>
    <cellStyle name="Normal 2 8 3" xfId="348" xr:uid="{5CE73A4C-6C27-4FA6-80BB-8B7995255F87}"/>
    <cellStyle name="Normal 2 9" xfId="53" xr:uid="{675EAC53-0DD0-4E65-8342-CBFDA8A556D6}"/>
    <cellStyle name="Normal 2 9 2" xfId="349" xr:uid="{464D2D12-D110-4EB4-827B-B2854DF6C23D}"/>
    <cellStyle name="Normal 20" xfId="511" xr:uid="{78480DFA-17F3-4479-8636-EA7BA0B028E2}"/>
    <cellStyle name="Normal 21" xfId="512" xr:uid="{3CAE8A63-91F1-490E-B145-CFA7FADA0382}"/>
    <cellStyle name="Normal 21 2" xfId="519" xr:uid="{194D9FFC-6D1F-44E7-9C11-CE68D1A2D56A}"/>
    <cellStyle name="Normal 22" xfId="521" xr:uid="{C9DB862F-2F2D-4918-8093-F59F602C5C94}"/>
    <cellStyle name="Normal 3" xfId="3" xr:uid="{B78ABAE1-CD10-4ED1-AB33-16EAE9BF9A30}"/>
    <cellStyle name="Normal 3 10" xfId="268" xr:uid="{D282FF14-4D30-4A65-8F44-C0A7F607858D}"/>
    <cellStyle name="Normal 3 11" xfId="269" xr:uid="{420232DD-2DF8-41BB-A5BE-19C21A5D0343}"/>
    <cellStyle name="Normal 3 12" xfId="270" xr:uid="{911E0A80-98A8-465C-8134-19D04FDEA80B}"/>
    <cellStyle name="Normal 3 13" xfId="271" xr:uid="{728ABE67-EDAE-41D8-B193-B364D630E95C}"/>
    <cellStyle name="Normal 3 2" xfId="12" xr:uid="{418C9545-BAEC-4A14-B05A-446D7BAC0E8D}"/>
    <cellStyle name="Normal 3 2 2" xfId="21" xr:uid="{FFAFA23B-F20C-42DF-9FE2-72002DCC0637}"/>
    <cellStyle name="Normal 3 2 2 2" xfId="54" xr:uid="{CD8785C5-56D7-49D1-87E1-BA8748672F31}"/>
    <cellStyle name="Normal 3 2 2 3" xfId="350" xr:uid="{D6D69E32-5869-4DED-9D54-920EEB27905A}"/>
    <cellStyle name="Normal 3 2 3" xfId="55" xr:uid="{876047FD-5879-4A16-964D-6384CE979C68}"/>
    <cellStyle name="Normal 3 2 3 2" xfId="351" xr:uid="{FF535E23-A533-499F-8301-A646A8EAFB21}"/>
    <cellStyle name="Normal 3 2 4" xfId="56" xr:uid="{971A2431-03AB-4132-844A-54BB4A6C1624}"/>
    <cellStyle name="Normal 3 2 5" xfId="352" xr:uid="{D4DAC83A-5508-420E-9877-3D141BAB4681}"/>
    <cellStyle name="Normal 3 2 6" xfId="353" xr:uid="{8D0D2B2D-FA56-4372-9A0E-22E3768AF519}"/>
    <cellStyle name="Normal 3 3" xfId="57" xr:uid="{E8BE5797-6D23-460E-865D-BC4B06AE22C6}"/>
    <cellStyle name="Normal 3 3 2" xfId="58" xr:uid="{421EE3B8-8689-4BFA-BDE5-A3D52C33B9CF}"/>
    <cellStyle name="Normal 3 3 2 2" xfId="354" xr:uid="{2F9FBFE1-99F0-4F72-8AEC-B21C1F773C63}"/>
    <cellStyle name="Normal 3 3 3" xfId="59" xr:uid="{77593EB0-B985-4997-81CD-C7F46218B3A6}"/>
    <cellStyle name="Normal 3 3 3 2" xfId="355" xr:uid="{12ADC139-C659-4C17-9649-1936EC1108A9}"/>
    <cellStyle name="Normal 3 3 4" xfId="356" xr:uid="{EC1A6396-A28C-4DE3-8559-513AF226B9F9}"/>
    <cellStyle name="Normal 3 4" xfId="60" xr:uid="{1BFEAEB7-33D0-4D45-813C-08CD08A8C342}"/>
    <cellStyle name="Normal 3 4 2" xfId="61" xr:uid="{5E62979A-3712-43D9-AAD9-3BC657E94966}"/>
    <cellStyle name="Normal 3 4 2 2" xfId="357" xr:uid="{B7E1EAE4-2DEC-4723-9997-31131FC8AD90}"/>
    <cellStyle name="Normal 3 4 3" xfId="358" xr:uid="{6219A9ED-40F1-4AC3-BCB1-A43DAE107AAF}"/>
    <cellStyle name="Normal 3 5" xfId="62" xr:uid="{A56EFFD8-DCFA-4B0F-9B00-9666A79D7A86}"/>
    <cellStyle name="Normal 3 5 2" xfId="63" xr:uid="{01A2A504-D1E0-42B0-BED1-C687F436362C}"/>
    <cellStyle name="Normal 3 5 2 2" xfId="359" xr:uid="{C9E3021D-D196-4CC6-B7D5-FCACC7023CA8}"/>
    <cellStyle name="Normal 3 5 3" xfId="360" xr:uid="{2B8F7449-AA3C-4CC7-B7D9-D171914DF1BD}"/>
    <cellStyle name="Normal 3 6" xfId="64" xr:uid="{F68381E1-D7A7-44FC-8545-828D95A8BB9B}"/>
    <cellStyle name="Normal 3 6 2" xfId="65" xr:uid="{7A36C9E7-DC66-42A3-902B-5FB71E97FF0B}"/>
    <cellStyle name="Normal 3 6 2 2" xfId="361" xr:uid="{A1978212-E83D-4538-B352-629632435384}"/>
    <cellStyle name="Normal 3 6 3" xfId="362" xr:uid="{4993CA1F-4EF2-42DD-8B58-6FA2680A133D}"/>
    <cellStyle name="Normal 3 7" xfId="66" xr:uid="{2605F2A5-C418-4079-8231-8DF6530F1508}"/>
    <cellStyle name="Normal 3 7 2" xfId="363" xr:uid="{DA475A5E-10E3-4629-9160-6142BFE18B5B}"/>
    <cellStyle name="Normal 3 8" xfId="67" xr:uid="{A7E9E078-5B8C-4CCB-94C1-D42940545158}"/>
    <cellStyle name="Normal 3 8 2" xfId="364" xr:uid="{D22A6D20-053A-42EB-B365-4CB7E0DA42AC}"/>
    <cellStyle name="Normal 3 9" xfId="68" xr:uid="{C64F4C12-0A1F-439C-A3BC-5DE306CC74A9}"/>
    <cellStyle name="Normal 3 9 2" xfId="365" xr:uid="{ED07E86A-C8FB-4659-9DFC-84F942AD7AA0}"/>
    <cellStyle name="Normal 4" xfId="6" xr:uid="{FCF74246-AC88-465D-A186-ED4DD28055ED}"/>
    <cellStyle name="Normal 4 10" xfId="69" xr:uid="{912F1788-6401-4E08-A111-D21908533947}"/>
    <cellStyle name="Normal 4 10 2" xfId="366" xr:uid="{575D2DDD-4172-4D47-AF2C-D83ABCB468A1}"/>
    <cellStyle name="Normal 4 10 2 2" xfId="367" xr:uid="{33FBC907-679D-4FCD-9690-233007F9C9C3}"/>
    <cellStyle name="Normal 4 10 3" xfId="368" xr:uid="{AF4805EC-18AA-41BA-8779-60B384157C50}"/>
    <cellStyle name="Normal 4 11" xfId="272" xr:uid="{B2DF0FEA-BF16-4BCE-B1BC-2443502C6FB4}"/>
    <cellStyle name="Normal 4 11 2" xfId="500" xr:uid="{7FF10C35-EFCA-464F-90D2-C1E448D54D39}"/>
    <cellStyle name="Normal 4 12" xfId="273" xr:uid="{EFD54202-367D-42CE-9B2D-6AAC694BB55F}"/>
    <cellStyle name="Normal 4 13" xfId="274" xr:uid="{19878E3B-1F25-449C-8820-1FC109E15A0F}"/>
    <cellStyle name="Normal 4 2" xfId="70" xr:uid="{D31BC1B0-5523-4FFC-BE87-75890C609C6F}"/>
    <cellStyle name="Normal 4 2 2" xfId="71" xr:uid="{E81C30CC-44F3-46C7-9681-A457641A17E3}"/>
    <cellStyle name="Normal 4 2 2 2" xfId="72" xr:uid="{B6F59320-AD80-4987-9C7C-8E844DFB7546}"/>
    <cellStyle name="Normal 4 2 2 2 2" xfId="369" xr:uid="{C752BBA7-9E57-45DA-90F2-6002DEC33BBA}"/>
    <cellStyle name="Normal 4 2 2 3" xfId="370" xr:uid="{DC1783F6-D697-4371-AD50-2F32CEA47C07}"/>
    <cellStyle name="Normal 4 2 3" xfId="73" xr:uid="{B7658351-BEE0-4CA2-B60F-EE72B22E07E6}"/>
    <cellStyle name="Normal 4 2 3 2" xfId="371" xr:uid="{CCC7A90F-B638-4430-8CAA-DB658841809E}"/>
    <cellStyle name="Normal 4 2 4" xfId="74" xr:uid="{6981EB76-758F-4278-A32C-9700771EF1C7}"/>
    <cellStyle name="Normal 4 2 4 2" xfId="372" xr:uid="{70BD64AA-819C-434C-B70A-2AA21E78C01A}"/>
    <cellStyle name="Normal 4 2 5" xfId="75" xr:uid="{EE9E2543-6788-42B2-8EF5-07135337AD7D}"/>
    <cellStyle name="Normal 4 2 5 2" xfId="373" xr:uid="{5AC11BDF-1B4D-45B5-8099-8C8173CF78DF}"/>
    <cellStyle name="Normal 4 2 6" xfId="374" xr:uid="{B7B39484-204C-4A6A-9799-4516C6F03EF6}"/>
    <cellStyle name="Normal 4 2 7" xfId="375" xr:uid="{7CBD9D39-A86E-45C6-8E66-140C8EB0B5C0}"/>
    <cellStyle name="Normal 4 3" xfId="76" xr:uid="{5E4C390F-E2D1-465D-8AAF-2A9FD6F69763}"/>
    <cellStyle name="Normal 4 3 2" xfId="77" xr:uid="{DABEFF7E-BE06-4934-8FB0-971AAB990BF4}"/>
    <cellStyle name="Normal 4 3 2 2" xfId="376" xr:uid="{06088498-937B-4A73-8A2F-2F5741D8FA50}"/>
    <cellStyle name="Normal 4 3 3" xfId="78" xr:uid="{D0D2084E-B7EB-4D43-A12B-1AFAC5DB7E33}"/>
    <cellStyle name="Normal 4 3 3 2" xfId="377" xr:uid="{452332F1-6163-4FF1-8E27-A8B355211B1F}"/>
    <cellStyle name="Normal 4 3 4" xfId="79" xr:uid="{8BF40E37-C198-460E-993B-5200DC13BFA3}"/>
    <cellStyle name="Normal 4 3 4 2" xfId="378" xr:uid="{7BF5F291-50CE-4377-9853-49AAE63DE179}"/>
    <cellStyle name="Normal 4 3 5" xfId="379" xr:uid="{1486B99D-483E-49A2-97BE-0B97C02CE53B}"/>
    <cellStyle name="Normal 4 4" xfId="80" xr:uid="{5872D87A-48BF-43FA-9A5C-F1D60005731B}"/>
    <cellStyle name="Normal 4 4 2" xfId="81" xr:uid="{A8DAF1B7-1B9B-41F8-87AB-DDA2A695234C}"/>
    <cellStyle name="Normal 4 4 2 2" xfId="380" xr:uid="{DF6032FB-1DE1-494F-BAC2-411C0237B23B}"/>
    <cellStyle name="Normal 4 4 3" xfId="381" xr:uid="{1E9BFCBF-A4D5-4C14-B1A4-C12422640ED9}"/>
    <cellStyle name="Normal 4 5" xfId="82" xr:uid="{45EDBC30-58F5-43F6-A170-8A6EC8529D38}"/>
    <cellStyle name="Normal 4 5 2" xfId="83" xr:uid="{62E46A46-F7F1-48FA-8FAD-52C8EE0D4EA0}"/>
    <cellStyle name="Normal 4 5 2 2" xfId="382" xr:uid="{8535EC88-2DAB-4AB5-8103-E42DCE631CE4}"/>
    <cellStyle name="Normal 4 5 3" xfId="383" xr:uid="{18FDB71D-D488-4785-A9BF-BCA0D0DDB863}"/>
    <cellStyle name="Normal 4 6" xfId="84" xr:uid="{6C5F45B0-60DD-4EB3-9860-BBB16B256A44}"/>
    <cellStyle name="Normal 4 6 2" xfId="85" xr:uid="{DB0FCDC1-E3F8-415E-96EE-75E2D83A8D7B}"/>
    <cellStyle name="Normal 4 6 2 2" xfId="384" xr:uid="{8772B63E-2B3E-44A9-91C6-DEA68668C3F6}"/>
    <cellStyle name="Normal 4 6 3" xfId="385" xr:uid="{27A1F5A7-1F18-44C2-B033-2279591B540F}"/>
    <cellStyle name="Normal 4 7" xfId="86" xr:uid="{B206A4BC-1628-4885-B64C-26244AD939C6}"/>
    <cellStyle name="Normal 4 7 2" xfId="386" xr:uid="{C2A4B351-4128-4BFC-AAAB-9C75C51A832A}"/>
    <cellStyle name="Normal 4 8" xfId="87" xr:uid="{23F16C81-3033-485A-BFBB-E1B7F270F83F}"/>
    <cellStyle name="Normal 4 8 2" xfId="387" xr:uid="{562DB2BA-634B-4C47-902C-D29AD258A4DB}"/>
    <cellStyle name="Normal 4 9" xfId="88" xr:uid="{BD08733E-B9EA-413D-9D10-BE18ED6A1F54}"/>
    <cellStyle name="Normal 4 9 2" xfId="388" xr:uid="{5DF95ADB-3BDA-496C-8C14-0F40DFC3DA5B}"/>
    <cellStyle name="Normal 5" xfId="8" xr:uid="{60FD9008-CC38-43BD-8341-43ACFE370BE8}"/>
    <cellStyle name="Normal 5 10" xfId="192" xr:uid="{40C08701-106F-428A-AC09-6D7C99003330}"/>
    <cellStyle name="Normal 5 10 2" xfId="501" xr:uid="{666A23F6-ADDA-42CF-A45C-68F5691AACF5}"/>
    <cellStyle name="Normal 5 11" xfId="275" xr:uid="{EFFB7A8C-8F0F-4C90-975A-AAF90277A435}"/>
    <cellStyle name="Normal 5 12" xfId="276" xr:uid="{9A92412B-381F-4BC4-A7F2-697140608718}"/>
    <cellStyle name="Normal 5 13" xfId="277" xr:uid="{2346C5E4-F826-419B-9B77-8FA726BA0AA3}"/>
    <cellStyle name="Normal 5 2" xfId="89" xr:uid="{AA028825-093E-4CAC-9762-7432958EA357}"/>
    <cellStyle name="Normal 5 2 2" xfId="90" xr:uid="{F35FF02E-7A67-4463-B0CB-173782F1E04F}"/>
    <cellStyle name="Normal 5 2 2 2" xfId="91" xr:uid="{D4EF92F3-7F7D-4B7B-9F64-69F30DC92E7E}"/>
    <cellStyle name="Normal 5 2 2 2 2" xfId="389" xr:uid="{77DC384C-9B26-4086-8AEE-24E812C26FF4}"/>
    <cellStyle name="Normal 5 2 2 3" xfId="390" xr:uid="{4201EB29-53F6-40BB-AB26-3BA3ECC1F66E}"/>
    <cellStyle name="Normal 5 2 3" xfId="92" xr:uid="{4BB1306B-5DA8-40E3-944A-C09AB7A50613}"/>
    <cellStyle name="Normal 5 2 3 2" xfId="391" xr:uid="{4C1F5813-DDCE-487C-B2C9-EF27646FE89E}"/>
    <cellStyle name="Normal 5 2 4" xfId="93" xr:uid="{48BCC492-FAD2-434C-A670-3C42412CC6BA}"/>
    <cellStyle name="Normal 5 2 4 2" xfId="392" xr:uid="{02C62923-116C-4C3C-ACC5-7CA76EDE6A92}"/>
    <cellStyle name="Normal 5 2 5" xfId="393" xr:uid="{6051A6A1-24F1-43A2-A3BC-80A30B5B7030}"/>
    <cellStyle name="Normal 5 2 6" xfId="394" xr:uid="{1792DD10-8580-4CEB-8798-23B45F4C6E2C}"/>
    <cellStyle name="Normal 5 3" xfId="94" xr:uid="{193B7320-14CB-47B1-96C5-3DB382219693}"/>
    <cellStyle name="Normal 5 3 2" xfId="95" xr:uid="{4F276CAB-2846-4D53-8828-6E0CF49C5E79}"/>
    <cellStyle name="Normal 5 3 2 2" xfId="395" xr:uid="{399C6A6F-0706-4F13-AD71-53F78FA40061}"/>
    <cellStyle name="Normal 5 3 3" xfId="96" xr:uid="{70740731-69A9-4D21-A810-5BDA298591C8}"/>
    <cellStyle name="Normal 5 3 3 2" xfId="396" xr:uid="{70D54C4C-8BEF-4070-8C6A-B30F30E9591F}"/>
    <cellStyle name="Normal 5 3 4" xfId="397" xr:uid="{1714FCD1-66DE-405D-B572-48E852BF898E}"/>
    <cellStyle name="Normal 5 4" xfId="97" xr:uid="{83920297-2CCD-48E4-90B9-98FF68504EC7}"/>
    <cellStyle name="Normal 5 4 2" xfId="98" xr:uid="{4C16EBC7-7959-4D0A-A944-9084A2FE17D6}"/>
    <cellStyle name="Normal 5 4 2 2" xfId="398" xr:uid="{E2320C20-B49F-4AB8-8199-B634B98C6C66}"/>
    <cellStyle name="Normal 5 4 3" xfId="399" xr:uid="{77665255-A964-4D28-AA13-09E6288A6573}"/>
    <cellStyle name="Normal 5 5" xfId="99" xr:uid="{3E4E786B-11E3-48F7-8991-AF6D13E6F451}"/>
    <cellStyle name="Normal 5 5 2" xfId="100" xr:uid="{229648F1-810A-4533-85C7-E96C4B904B49}"/>
    <cellStyle name="Normal 5 5 2 2" xfId="400" xr:uid="{028AF421-03DF-4ABF-850D-BB2D51A7279B}"/>
    <cellStyle name="Normal 5 5 3" xfId="401" xr:uid="{611047B0-48B5-4FAC-8732-E36CDA35B778}"/>
    <cellStyle name="Normal 5 6" xfId="101" xr:uid="{40268BAF-BAA5-4B4E-9840-9E73B1B4EAB7}"/>
    <cellStyle name="Normal 5 6 2" xfId="102" xr:uid="{94931553-3151-47EF-A1D8-BD24DDF520BC}"/>
    <cellStyle name="Normal 5 6 2 2" xfId="402" xr:uid="{51428F0F-976D-40CB-BA02-BA15751424BB}"/>
    <cellStyle name="Normal 5 6 3" xfId="403" xr:uid="{13E30D8F-2279-4557-9B6A-1F9F760CA720}"/>
    <cellStyle name="Normal 5 7" xfId="103" xr:uid="{2A45C5B0-2F7A-4C48-94BD-56BEC3372CF7}"/>
    <cellStyle name="Normal 5 7 2" xfId="404" xr:uid="{2A362472-D9BE-48A9-818D-828D2BB80287}"/>
    <cellStyle name="Normal 5 8" xfId="104" xr:uid="{D712030C-8E10-4B15-99F6-38D29565B2AE}"/>
    <cellStyle name="Normal 5 8 2" xfId="405" xr:uid="{AFDB33C0-ED09-4B5B-AFED-CEB8BAF8DEDA}"/>
    <cellStyle name="Normal 5 9" xfId="105" xr:uid="{8AFE6EE4-24F2-42C2-8121-D67814F5076D}"/>
    <cellStyle name="Normal 5 9 2" xfId="406" xr:uid="{E040C381-A4B4-4D53-92D9-EC19DB13A2A3}"/>
    <cellStyle name="Normal 6" xfId="19" xr:uid="{4EA95FC0-2A2A-4681-89F0-1CACA2ED72FC}"/>
    <cellStyle name="Normal 6 2" xfId="278" xr:uid="{60EE3149-7021-4677-8777-6471E75822CF}"/>
    <cellStyle name="Normal 7" xfId="106" xr:uid="{7FDFE78F-6873-4670-8804-17F43FE6A756}"/>
    <cellStyle name="Normal 7 10" xfId="407" xr:uid="{1C1E3CCE-5D19-47C3-B674-F30FEB081333}"/>
    <cellStyle name="Normal 7 2" xfId="107" xr:uid="{02236514-A844-444B-A959-C9F15EF813C4}"/>
    <cellStyle name="Normal 7 2 2" xfId="108" xr:uid="{43369247-553E-487C-8B27-A91898560122}"/>
    <cellStyle name="Normal 7 2 2 2" xfId="408" xr:uid="{30881417-9B0B-4EF5-B3EF-2A8568615E8A}"/>
    <cellStyle name="Normal 7 2 3" xfId="109" xr:uid="{54122DB8-0AC0-45AC-86EA-A095A7A7CF07}"/>
    <cellStyle name="Normal 7 2 3 2" xfId="409" xr:uid="{A6283F70-96E1-4797-90ED-36642B312A7A}"/>
    <cellStyle name="Normal 7 2 4" xfId="410" xr:uid="{B476989A-C7BC-4B60-9027-DF144C7B06FD}"/>
    <cellStyle name="Normal 7 3" xfId="110" xr:uid="{69F8FA5B-D7D3-4095-84BD-B184D3F1F36E}"/>
    <cellStyle name="Normal 7 3 2" xfId="111" xr:uid="{E9415D43-2BB8-4C05-948F-0C920916AA19}"/>
    <cellStyle name="Normal 7 3 2 2" xfId="411" xr:uid="{D9E42BE4-AC47-4FDF-84A6-50A4C57E6625}"/>
    <cellStyle name="Normal 7 3 3" xfId="412" xr:uid="{24C94640-625D-451F-B3B1-C70E6D9EBE3E}"/>
    <cellStyle name="Normal 7 4" xfId="112" xr:uid="{5C382A42-35DB-40A3-831F-02B76BB435EA}"/>
    <cellStyle name="Normal 7 4 2" xfId="113" xr:uid="{82355EEF-D9A4-4FC8-AA9D-6B7493CF1FAE}"/>
    <cellStyle name="Normal 7 4 2 2" xfId="413" xr:uid="{EA6A52F5-AB4F-4A1F-835E-2748BAA02582}"/>
    <cellStyle name="Normal 7 4 3" xfId="414" xr:uid="{E6BB292C-53ED-477D-A941-8F1C2660B36A}"/>
    <cellStyle name="Normal 7 5" xfId="114" xr:uid="{3BD788CB-2D3A-4078-A9FC-8393A2752851}"/>
    <cellStyle name="Normal 7 5 2" xfId="115" xr:uid="{327AA70C-8056-4E8F-965E-AE69E7F8F8D1}"/>
    <cellStyle name="Normal 7 5 2 2" xfId="415" xr:uid="{FA4A5E85-EA67-4610-A1BE-5AA33D66CB33}"/>
    <cellStyle name="Normal 7 5 3" xfId="416" xr:uid="{8A97734B-A631-43E0-ADF6-3398B9A7ABB8}"/>
    <cellStyle name="Normal 7 6" xfId="116" xr:uid="{6FE9B947-CED1-4827-9C21-D0E54CED94C6}"/>
    <cellStyle name="Normal 7 6 2" xfId="417" xr:uid="{2098A050-4B2A-4358-87D8-1801D09B5186}"/>
    <cellStyle name="Normal 7 7" xfId="117" xr:uid="{2A206E6D-3C95-4037-BA57-C8D320AB73A1}"/>
    <cellStyle name="Normal 7 7 2" xfId="418" xr:uid="{C0527978-8F40-45F5-967D-0C2638B5568E}"/>
    <cellStyle name="Normal 7 8" xfId="118" xr:uid="{C6D74770-8791-4CAA-8D23-5B855A794643}"/>
    <cellStyle name="Normal 7 8 2" xfId="419" xr:uid="{9D6C9570-3D89-4DC4-9241-CEF95DCD0672}"/>
    <cellStyle name="Normal 7 9" xfId="420" xr:uid="{7B4062A8-7993-4F94-920E-480F5B27D14F}"/>
    <cellStyle name="Normal 8" xfId="16" xr:uid="{19671733-CF44-4C7D-A198-2797FFECF5AF}"/>
    <cellStyle name="Normal 8 2" xfId="119" xr:uid="{5090D472-7118-4823-9370-06EFEBC90C46}"/>
    <cellStyle name="Normal 8 2 2" xfId="120" xr:uid="{16D44AE7-367D-4E7E-BA81-CC694A9C9B1E}"/>
    <cellStyle name="Normal 8 2 2 2" xfId="421" xr:uid="{6DD77984-0696-4F13-A2DC-2B7D7FABF47A}"/>
    <cellStyle name="Normal 8 2 3" xfId="422" xr:uid="{A372058F-D2BC-4ADE-9CE9-5B08C576EACD}"/>
    <cellStyle name="Normal 8 3" xfId="121" xr:uid="{2806CB5A-B7A7-4AF4-875D-3B4CD4DA6C6E}"/>
    <cellStyle name="Normal 8 3 2" xfId="122" xr:uid="{5B9677EB-F1EC-45A8-BA83-A00227BC7801}"/>
    <cellStyle name="Normal 8 3 2 2" xfId="423" xr:uid="{95174C61-385E-4397-B8F9-1997D3F923DC}"/>
    <cellStyle name="Normal 8 3 3" xfId="424" xr:uid="{406E7BC3-DAE6-4B26-932C-D238F3E13479}"/>
    <cellStyle name="Normal 8 4" xfId="123" xr:uid="{8E210F53-6E3F-4876-B82F-77BB9B29BC8E}"/>
    <cellStyle name="Normal 8 4 2" xfId="124" xr:uid="{8E6852B7-CFA4-4A66-839A-CAB4F0F0AE82}"/>
    <cellStyle name="Normal 8 4 2 2" xfId="425" xr:uid="{22FD290F-570A-4568-9943-F1FAE1FD8252}"/>
    <cellStyle name="Normal 8 4 3" xfId="426" xr:uid="{31805EB1-E974-45ED-8034-96AE9398CB67}"/>
    <cellStyle name="Normal 8 5" xfId="125" xr:uid="{0230FC3F-EFF2-403B-A493-F1ECCFD16DB1}"/>
    <cellStyle name="Normal 8 5 2" xfId="427" xr:uid="{54008602-730D-45E9-987A-A9FE02F509B6}"/>
    <cellStyle name="Normal 8 6" xfId="428" xr:uid="{26DF7424-41BA-4C65-A30C-FDDE0546449A}"/>
    <cellStyle name="Normal 9" xfId="126" xr:uid="{77BF3AF8-3379-45F1-8E51-64D1780BE60A}"/>
    <cellStyle name="Note 2" xfId="279" xr:uid="{49E2ABA0-DFFA-4AAC-BF65-F3E9643DF5BB}"/>
    <cellStyle name="Note 3" xfId="280" xr:uid="{7BCD3A87-1556-4493-8702-4672393E79F1}"/>
    <cellStyle name="Note 4" xfId="281" xr:uid="{2EE5A4B0-0C17-4748-8164-58517C9AA0F9}"/>
    <cellStyle name="Note 5" xfId="282" xr:uid="{982A7C05-3841-43DC-8631-CC87F36E0032}"/>
    <cellStyle name="Output 2" xfId="283" xr:uid="{60E0D36D-378B-4FAF-B15F-097F6025B414}"/>
    <cellStyle name="Percent" xfId="2" builtinId="5"/>
    <cellStyle name="Percent 10" xfId="518" xr:uid="{9AAFD891-17FE-40DD-83D1-28D75A7FC2D4}"/>
    <cellStyle name="Percent 2" xfId="10" xr:uid="{89F7AE05-291A-44CE-95DC-D6D4B55775BB}"/>
    <cellStyle name="Percent 2 10" xfId="429" xr:uid="{7D6016FB-0730-46F0-B819-D622117AA7B6}"/>
    <cellStyle name="Percent 2 11" xfId="430" xr:uid="{6EAFAE73-8781-4550-8AB7-F3FD78768423}"/>
    <cellStyle name="Percent 2 12" xfId="506" xr:uid="{BE36FBB5-2D4E-4DE8-927E-A2E4C88654CE}"/>
    <cellStyle name="Percent 2 2" xfId="127" xr:uid="{0C330F53-7570-4288-8F51-43361BE2B249}"/>
    <cellStyle name="Percent 2 2 10" xfId="284" xr:uid="{C507C5EC-1330-4BE4-BBBC-CE2CADB8CDE9}"/>
    <cellStyle name="Percent 2 2 11" xfId="285" xr:uid="{CE9B29B3-F314-4F17-8D66-ACD484F54374}"/>
    <cellStyle name="Percent 2 2 12" xfId="286" xr:uid="{08104FEB-8686-4E8F-8F5F-AF2491509539}"/>
    <cellStyle name="Percent 2 2 2" xfId="128" xr:uid="{298184FA-44A2-4A25-9037-DFDF23636C06}"/>
    <cellStyle name="Percent 2 2 2 2" xfId="129" xr:uid="{91AD13AA-43A7-4369-AE22-76BAF2C035E2}"/>
    <cellStyle name="Percent 2 2 2 2 2" xfId="431" xr:uid="{4AFEFD23-85E9-4DDB-A1B5-8E588A0EC2D2}"/>
    <cellStyle name="Percent 2 2 2 3" xfId="432" xr:uid="{80BBC934-D84C-4A72-BB7C-8866897790B0}"/>
    <cellStyle name="Percent 2 2 3" xfId="130" xr:uid="{FC5C7F7D-F39F-41EA-BC91-DDFB25D735BB}"/>
    <cellStyle name="Percent 2 2 3 2" xfId="433" xr:uid="{814CF0E6-C55E-46F9-9B82-F1A20C719A72}"/>
    <cellStyle name="Percent 2 2 4" xfId="131" xr:uid="{6891879F-8DB9-41C3-9652-AFEA939AD573}"/>
    <cellStyle name="Percent 2 2 4 2" xfId="434" xr:uid="{237C2785-B311-41A1-B34B-7E4B141E4C06}"/>
    <cellStyle name="Percent 2 2 5" xfId="287" xr:uid="{CCAB427A-3415-4F38-B89B-A70C41DBB812}"/>
    <cellStyle name="Percent 2 2 6" xfId="288" xr:uid="{90B366E7-F2E0-4F7B-B866-3B7EECF2B671}"/>
    <cellStyle name="Percent 2 2 7" xfId="289" xr:uid="{360E9836-CB89-4EFC-A5C3-DF1A21525628}"/>
    <cellStyle name="Percent 2 2 8" xfId="290" xr:uid="{59EF971A-EC28-444E-A67F-775991321E18}"/>
    <cellStyle name="Percent 2 2 9" xfId="291" xr:uid="{C4ACFE6B-263F-4037-A9D2-12CE313FD8A7}"/>
    <cellStyle name="Percent 2 3" xfId="132" xr:uid="{04F4B562-088E-499E-A55A-D7EC97FD3C19}"/>
    <cellStyle name="Percent 2 3 10" xfId="292" xr:uid="{1A6018B5-BC26-493A-9A01-8522990BE6B1}"/>
    <cellStyle name="Percent 2 3 11" xfId="293" xr:uid="{AFA22722-D6F9-42F3-8352-155524C98D4F}"/>
    <cellStyle name="Percent 2 3 12" xfId="294" xr:uid="{0E10F59B-5189-4F40-B2D2-0B66BE6CDA35}"/>
    <cellStyle name="Percent 2 3 2" xfId="133" xr:uid="{CA3EC652-D095-4CE5-9E46-C6CC5FCE2483}"/>
    <cellStyle name="Percent 2 3 2 2" xfId="435" xr:uid="{653989A8-853B-45A4-9EE6-114C811FC22A}"/>
    <cellStyle name="Percent 2 3 3" xfId="134" xr:uid="{1DC208A8-9D0C-4E0D-8393-08608F2AEF32}"/>
    <cellStyle name="Percent 2 3 3 2" xfId="436" xr:uid="{42DE07C2-717D-434B-908A-4BA4F84B34C0}"/>
    <cellStyle name="Percent 2 3 4" xfId="295" xr:uid="{038AF176-C373-45A5-BC81-23575BCDA04F}"/>
    <cellStyle name="Percent 2 3 5" xfId="296" xr:uid="{13F805B5-51F2-4CF2-A036-E14E82E2007D}"/>
    <cellStyle name="Percent 2 3 6" xfId="297" xr:uid="{5F304A52-6A02-47F4-8DEA-2F02CADFCDBD}"/>
    <cellStyle name="Percent 2 3 7" xfId="298" xr:uid="{A51F4CF4-F97B-497A-A59F-2F64FDDDA61F}"/>
    <cellStyle name="Percent 2 3 8" xfId="299" xr:uid="{1134B327-F2DE-40E6-BC59-DDFBBAE77814}"/>
    <cellStyle name="Percent 2 3 9" xfId="300" xr:uid="{B770A69A-6DDC-43EB-8553-2FCD0C41112E}"/>
    <cellStyle name="Percent 2 4" xfId="135" xr:uid="{31B8B35A-4116-40D1-8520-39052D20DED6}"/>
    <cellStyle name="Percent 2 4 10" xfId="301" xr:uid="{80693BF3-3032-49F7-B828-5A736FF4510A}"/>
    <cellStyle name="Percent 2 4 11" xfId="302" xr:uid="{D79A54E1-A706-4982-8F6E-E84F031F9B95}"/>
    <cellStyle name="Percent 2 4 12" xfId="303" xr:uid="{9CB8B46C-E029-4EE8-94C2-4990E33C3543}"/>
    <cellStyle name="Percent 2 4 2" xfId="136" xr:uid="{DB8C988F-2CD9-411F-834C-C1924ECB1D72}"/>
    <cellStyle name="Percent 2 4 2 2" xfId="437" xr:uid="{65E2CE8C-63DC-4C2D-80D7-2EDE2A801811}"/>
    <cellStyle name="Percent 2 4 3" xfId="304" xr:uid="{7F01ECF6-CAE0-4AFB-A36A-4FA7598F6E81}"/>
    <cellStyle name="Percent 2 4 4" xfId="305" xr:uid="{318D3DA0-CBBE-45E8-ADEF-BF2A70217167}"/>
    <cellStyle name="Percent 2 4 5" xfId="306" xr:uid="{5040A1E2-185D-4A28-B31E-D2321B414B4D}"/>
    <cellStyle name="Percent 2 4 6" xfId="307" xr:uid="{7E8C8FCC-0806-4832-B0B8-C6A1E6A33582}"/>
    <cellStyle name="Percent 2 4 7" xfId="308" xr:uid="{2C17510B-CCD4-4E94-BB68-3555F3ED3BA1}"/>
    <cellStyle name="Percent 2 4 8" xfId="309" xr:uid="{B6FE16CD-A486-44E1-8A02-3D805B84705C}"/>
    <cellStyle name="Percent 2 4 9" xfId="310" xr:uid="{8BEF062A-9CBF-4D00-B0F1-CC2F192D4293}"/>
    <cellStyle name="Percent 2 5" xfId="137" xr:uid="{0B8AEB7B-DF72-4D4B-B09D-C763235096D5}"/>
    <cellStyle name="Percent 2 5 2" xfId="138" xr:uid="{2C70D6C8-BF76-4955-9508-6F15D63B5D5B}"/>
    <cellStyle name="Percent 2 5 2 2" xfId="438" xr:uid="{EC861690-2E3D-4E57-93F6-45042C9C4417}"/>
    <cellStyle name="Percent 2 5 3" xfId="439" xr:uid="{C7BC2CAC-20B7-42D1-B3FA-3A103BA0B80B}"/>
    <cellStyle name="Percent 2 6" xfId="139" xr:uid="{6D6835CE-B2F3-4AFC-B52E-5DAAA6E54A51}"/>
    <cellStyle name="Percent 2 6 2" xfId="140" xr:uid="{97076685-A981-44C1-BB58-DDDC312980D9}"/>
    <cellStyle name="Percent 2 6 2 2" xfId="440" xr:uid="{D5D08D9C-6CF5-4BF8-8BAB-7202EB1B6B84}"/>
    <cellStyle name="Percent 2 6 3" xfId="441" xr:uid="{BC4B150C-D0B4-4D27-A5F3-B0BE9972E973}"/>
    <cellStyle name="Percent 2 7" xfId="141" xr:uid="{5B079BB3-335D-4876-9DBA-E38EB606867A}"/>
    <cellStyle name="Percent 2 7 2" xfId="442" xr:uid="{4EF9F166-E91E-4A85-8D04-C9FCB2DA324D}"/>
    <cellStyle name="Percent 2 8" xfId="142" xr:uid="{9D5B775E-3F17-4888-957C-10812A5AFE41}"/>
    <cellStyle name="Percent 2 8 2" xfId="443" xr:uid="{3BD74C20-8B52-4C46-A7E8-FDC1A6CC38ED}"/>
    <cellStyle name="Percent 2 9" xfId="143" xr:uid="{3A350494-E7FC-4D7F-959E-B95F2DD9D883}"/>
    <cellStyle name="Percent 2 9 2" xfId="444" xr:uid="{51C903A0-F360-44CA-B81C-B61E66982B4B}"/>
    <cellStyle name="Percent 3" xfId="18" xr:uid="{9E8FF7E6-1EBC-48C0-ABCD-633F78069E32}"/>
    <cellStyle name="Percent 3 10" xfId="445" xr:uid="{B595E92E-CA3C-48E6-8049-565CA7386B16}"/>
    <cellStyle name="Percent 3 11" xfId="446" xr:uid="{4D971470-9AAB-4047-9E48-BF1C90EFBF95}"/>
    <cellStyle name="Percent 3 2" xfId="144" xr:uid="{9F65E39B-010F-4CE3-A0BE-9C25352BC3DF}"/>
    <cellStyle name="Percent 3 2 2" xfId="145" xr:uid="{3B27B2FC-2C97-435B-A5F0-BAB867356127}"/>
    <cellStyle name="Percent 3 2 2 2" xfId="146" xr:uid="{F0120404-39AF-4BB7-A5C1-9B34836830F1}"/>
    <cellStyle name="Percent 3 2 2 2 2" xfId="447" xr:uid="{067361B1-3BE3-40B2-AF59-07E24C3CEA01}"/>
    <cellStyle name="Percent 3 2 2 3" xfId="448" xr:uid="{C386551D-AC45-4FE2-96A2-DF74593A648B}"/>
    <cellStyle name="Percent 3 2 3" xfId="147" xr:uid="{E2D772A7-31C7-4701-942A-5C03B4B7D6DA}"/>
    <cellStyle name="Percent 3 2 3 2" xfId="449" xr:uid="{D793DDFE-4730-448F-824E-2BD8F1F41A9A}"/>
    <cellStyle name="Percent 3 2 4" xfId="148" xr:uid="{7CE9D3A7-C86F-419C-AAC8-48A96274BA70}"/>
    <cellStyle name="Percent 3 2 4 2" xfId="450" xr:uid="{4107D4BB-57A3-4793-B833-ABBBD2B873EA}"/>
    <cellStyle name="Percent 3 2 5" xfId="451" xr:uid="{94F703E5-AF5F-48CE-8F94-ABDE9D633AED}"/>
    <cellStyle name="Percent 3 2 6" xfId="452" xr:uid="{60E9846D-F2B8-4538-AE09-2ED7EEFCA97D}"/>
    <cellStyle name="Percent 3 3" xfId="149" xr:uid="{3A963778-B24F-4519-ACA3-5D0DC7938938}"/>
    <cellStyle name="Percent 3 3 2" xfId="150" xr:uid="{007A2FD2-D1ED-47CD-8BC9-625AE074676C}"/>
    <cellStyle name="Percent 3 3 2 2" xfId="453" xr:uid="{7CB63199-BFAD-4D9C-8BB8-F72ECB3A2B9D}"/>
    <cellStyle name="Percent 3 3 3" xfId="151" xr:uid="{98C0DBBD-D82E-40BE-A42D-E8B82172E889}"/>
    <cellStyle name="Percent 3 3 3 2" xfId="454" xr:uid="{5FC6F666-EE77-45A0-977B-9BEE0DFED7B4}"/>
    <cellStyle name="Percent 3 3 4" xfId="455" xr:uid="{595CE193-57E5-423E-9177-1204FB9A796A}"/>
    <cellStyle name="Percent 3 4" xfId="152" xr:uid="{7CE5715A-D947-4C91-A415-20371E05B1E5}"/>
    <cellStyle name="Percent 3 4 2" xfId="153" xr:uid="{C0D4E040-12F6-4D20-8292-4E8FF8E72E42}"/>
    <cellStyle name="Percent 3 4 2 2" xfId="456" xr:uid="{68B36F91-E47A-4AA7-B90F-64960F61E595}"/>
    <cellStyle name="Percent 3 4 3" xfId="457" xr:uid="{BF57F8AB-FC32-4A78-A819-76FC4457039E}"/>
    <cellStyle name="Percent 3 5" xfId="154" xr:uid="{19B6651E-0029-41DE-BCA9-D5FFAF309F18}"/>
    <cellStyle name="Percent 3 5 2" xfId="155" xr:uid="{F837CB8F-35A0-4632-A4CE-AFA31905090C}"/>
    <cellStyle name="Percent 3 5 2 2" xfId="458" xr:uid="{BD50DF28-142C-4670-8F5E-3C0BEABE81F7}"/>
    <cellStyle name="Percent 3 5 3" xfId="459" xr:uid="{F9B93E1F-C291-4A1F-960D-BD46FA9CA2BD}"/>
    <cellStyle name="Percent 3 6" xfId="156" xr:uid="{D39D1131-5249-4E2C-8397-D08B803D3233}"/>
    <cellStyle name="Percent 3 6 2" xfId="157" xr:uid="{7DBC0307-1EB4-4128-A7CC-BF9DA36B0C90}"/>
    <cellStyle name="Percent 3 6 2 2" xfId="460" xr:uid="{B89CDC9A-3F18-48F7-8BD9-2AEDFAADBA62}"/>
    <cellStyle name="Percent 3 6 3" xfId="461" xr:uid="{06B2C0F8-A03A-4E22-B385-F80D11ACA898}"/>
    <cellStyle name="Percent 3 7" xfId="158" xr:uid="{6265F912-9BD0-4E67-88B1-BC894476EDB5}"/>
    <cellStyle name="Percent 3 7 2" xfId="462" xr:uid="{7622F65F-74DC-40BB-A562-78DFE9DE8356}"/>
    <cellStyle name="Percent 3 8" xfId="159" xr:uid="{F7606AF4-5AB5-47F6-AE58-E4934AD4833F}"/>
    <cellStyle name="Percent 3 8 2" xfId="463" xr:uid="{F6057D84-E601-490F-9279-02EC11040355}"/>
    <cellStyle name="Percent 3 9" xfId="160" xr:uid="{72455E00-25D2-4125-B385-2DE2C859F5AD}"/>
    <cellStyle name="Percent 3 9 2" xfId="464" xr:uid="{6C4D4E9F-163D-42A3-A139-3667F9B4DA0D}"/>
    <cellStyle name="Percent 4" xfId="161" xr:uid="{A233EE82-669D-43EE-8D0C-29AE3D8E441D}"/>
    <cellStyle name="Percent 4 10" xfId="465" xr:uid="{FF05CC0B-3A24-4285-A0D4-755D1CEF1A1E}"/>
    <cellStyle name="Percent 4 11" xfId="466" xr:uid="{914893EE-F590-4A55-96B2-73C2D01C2858}"/>
    <cellStyle name="Percent 4 2" xfId="162" xr:uid="{A2B810B3-0ED2-4D0A-95BA-EC7D2AD77DCE}"/>
    <cellStyle name="Percent 4 2 2" xfId="163" xr:uid="{B9DD66D3-0295-4072-A26A-BDAC67269C78}"/>
    <cellStyle name="Percent 4 2 2 2" xfId="164" xr:uid="{B64B47ED-C21B-43AE-8D8F-0DBAAE4277DF}"/>
    <cellStyle name="Percent 4 2 2 2 2" xfId="467" xr:uid="{CCBB2189-BCC9-445A-B25A-6CB3FCB0FE4A}"/>
    <cellStyle name="Percent 4 2 2 3" xfId="468" xr:uid="{5DAA98A4-BBBC-4213-9ED2-989E8EE7B294}"/>
    <cellStyle name="Percent 4 2 3" xfId="165" xr:uid="{B1EDCDCC-C65D-429B-9F90-8DDB48F5E647}"/>
    <cellStyle name="Percent 4 2 3 2" xfId="469" xr:uid="{710DECC1-C7AB-4173-9DEF-9EE0670C48CD}"/>
    <cellStyle name="Percent 4 2 4" xfId="166" xr:uid="{D389D44C-9664-42DB-BAEC-1EAC636AA8A3}"/>
    <cellStyle name="Percent 4 2 4 2" xfId="470" xr:uid="{0DAF78EA-703D-4B7E-A9DF-C2A3AEA3207D}"/>
    <cellStyle name="Percent 4 2 5" xfId="471" xr:uid="{4FA393FD-318F-4AD5-A026-901CF92E17A4}"/>
    <cellStyle name="Percent 4 2 6" xfId="472" xr:uid="{62834D1F-C724-481B-A262-7FFD441008DF}"/>
    <cellStyle name="Percent 4 3" xfId="167" xr:uid="{80AB78E2-8139-4597-9930-9AA93EDE5E51}"/>
    <cellStyle name="Percent 4 3 2" xfId="168" xr:uid="{9DCDA52D-F9C8-430D-A9B7-54E073B0E85B}"/>
    <cellStyle name="Percent 4 3 2 2" xfId="473" xr:uid="{849A7CEC-E17B-4182-BE5F-13A9D1F8DCD6}"/>
    <cellStyle name="Percent 4 3 3" xfId="169" xr:uid="{EF23B2BF-4848-4F04-BAB7-E4FBE8423364}"/>
    <cellStyle name="Percent 4 3 3 2" xfId="474" xr:uid="{62092A49-E2C3-4EAC-9386-5D752B18D7FD}"/>
    <cellStyle name="Percent 4 3 4" xfId="475" xr:uid="{6BEDD404-F818-4945-B8E9-53C0A97F71AF}"/>
    <cellStyle name="Percent 4 4" xfId="170" xr:uid="{CCEB86BC-FF8F-4260-B408-D6EC206C57F9}"/>
    <cellStyle name="Percent 4 4 2" xfId="171" xr:uid="{C99ADCDD-2431-4CAA-99A7-3B40CF524099}"/>
    <cellStyle name="Percent 4 4 2 2" xfId="476" xr:uid="{702A559E-1209-4B50-A117-04B0F74BDEBD}"/>
    <cellStyle name="Percent 4 4 3" xfId="477" xr:uid="{FFFF3E18-6AC1-4871-9452-F5F65DAEEF5E}"/>
    <cellStyle name="Percent 4 5" xfId="172" xr:uid="{07B63699-FD31-43CD-A938-ABACCE9C693A}"/>
    <cellStyle name="Percent 4 5 2" xfId="173" xr:uid="{9BA537B7-6C0B-434C-AAA1-977A470C8009}"/>
    <cellStyle name="Percent 4 5 2 2" xfId="478" xr:uid="{A86E1C68-3BEF-41AF-8E13-50261B9E9289}"/>
    <cellStyle name="Percent 4 5 3" xfId="479" xr:uid="{B2C4D1BC-8428-499A-A814-0041305F9CA7}"/>
    <cellStyle name="Percent 4 6" xfId="174" xr:uid="{9A1FB83A-164F-4671-A3ED-9B3000DAB66B}"/>
    <cellStyle name="Percent 4 6 2" xfId="175" xr:uid="{2F6755A9-FE7F-471C-8EED-6FA2905DB2DA}"/>
    <cellStyle name="Percent 4 6 2 2" xfId="480" xr:uid="{FE13B28C-AB8C-4F33-B3CC-B25D0BDBD65E}"/>
    <cellStyle name="Percent 4 6 3" xfId="481" xr:uid="{233EEB91-B046-4931-9557-F3C759DB390C}"/>
    <cellStyle name="Percent 4 7" xfId="176" xr:uid="{5E4F33C5-8EDA-4B66-9867-5D65D6807DF7}"/>
    <cellStyle name="Percent 4 7 2" xfId="482" xr:uid="{DF155B51-FB22-44DF-B995-2229AB9805C4}"/>
    <cellStyle name="Percent 4 8" xfId="177" xr:uid="{8E7E0704-A9E5-4F11-AD5F-690497353EA3}"/>
    <cellStyle name="Percent 4 8 2" xfId="483" xr:uid="{886F2E43-8125-41A3-848B-693400487187}"/>
    <cellStyle name="Percent 4 9" xfId="178" xr:uid="{069365C3-BD1E-48E2-9284-99FEBEF94BFF}"/>
    <cellStyle name="Percent 4 9 2" xfId="484" xr:uid="{79BB7689-B742-4121-B3C5-ACAED0B616CB}"/>
    <cellStyle name="Percent 5" xfId="179" xr:uid="{A82303C2-C70F-43B0-873E-53604797A7BE}"/>
    <cellStyle name="Percent 5 10" xfId="485" xr:uid="{517C865D-1C05-4ED6-BFFB-0F6E94C0787B}"/>
    <cellStyle name="Percent 5 2" xfId="180" xr:uid="{D3BB08F4-DE52-4EC1-9193-6D91DA4D3E5C}"/>
    <cellStyle name="Percent 5 2 2" xfId="181" xr:uid="{08C4BB4F-73C7-45D0-A3FE-4F59519CC5EF}"/>
    <cellStyle name="Percent 5 2 2 2" xfId="486" xr:uid="{654FAC01-014B-4D60-8D9F-0985B1C0A38E}"/>
    <cellStyle name="Percent 5 2 3" xfId="182" xr:uid="{D36D4728-B5FB-435A-8D6B-D164D875C062}"/>
    <cellStyle name="Percent 5 2 3 2" xfId="487" xr:uid="{53F0FF9D-114C-43F3-B397-EE8ED0BFF26E}"/>
    <cellStyle name="Percent 5 2 4" xfId="488" xr:uid="{08AF8A86-8C00-486D-8E1C-AB413F884922}"/>
    <cellStyle name="Percent 5 3" xfId="183" xr:uid="{81A6BD22-9982-4BB4-90EF-64661ACE98A8}"/>
    <cellStyle name="Percent 5 3 2" xfId="184" xr:uid="{C65E5F6F-2D4C-4A27-9C51-289BA25E6CC6}"/>
    <cellStyle name="Percent 5 3 2 2" xfId="489" xr:uid="{E32F53AE-9D62-431B-A3FB-F52768744A8B}"/>
    <cellStyle name="Percent 5 3 3" xfId="490" xr:uid="{1BD91A1F-9B88-4C02-BC56-7BB2F022F8FC}"/>
    <cellStyle name="Percent 5 4" xfId="185" xr:uid="{25429AEF-B9B6-4EA3-B93B-CC2186915B0F}"/>
    <cellStyle name="Percent 5 4 2" xfId="186" xr:uid="{541F5079-2388-4AC5-BCE9-1602816BED78}"/>
    <cellStyle name="Percent 5 4 2 2" xfId="491" xr:uid="{BED789AF-DBE4-401B-9AEF-AA5CE482915D}"/>
    <cellStyle name="Percent 5 4 3" xfId="492" xr:uid="{2D987B45-A23A-4345-AA59-19458BEF3D7F}"/>
    <cellStyle name="Percent 5 5" xfId="187" xr:uid="{6556B42D-B835-48E7-BAA4-3FEC66373831}"/>
    <cellStyle name="Percent 5 5 2" xfId="188" xr:uid="{C73B778B-E87D-4B1D-8CA9-8B723860DAA8}"/>
    <cellStyle name="Percent 5 5 2 2" xfId="493" xr:uid="{F0453ED2-BFA8-4E14-9BD2-52732AD23BB1}"/>
    <cellStyle name="Percent 5 5 3" xfId="494" xr:uid="{B894D2E9-4D7D-4770-B8A8-36E9E745B3A0}"/>
    <cellStyle name="Percent 5 6" xfId="189" xr:uid="{C47AC053-052B-4EC0-BD46-2568F6DA89C2}"/>
    <cellStyle name="Percent 5 6 2" xfId="495" xr:uid="{49B4CD0E-ABCE-4ABB-8622-1571DC27E951}"/>
    <cellStyle name="Percent 5 7" xfId="190" xr:uid="{CE60EFB7-26C2-41D0-B34F-42EFE638BCD4}"/>
    <cellStyle name="Percent 5 7 2" xfId="496" xr:uid="{E88E7DE6-C8DB-421E-AB05-B466B6066720}"/>
    <cellStyle name="Percent 5 8" xfId="191" xr:uid="{FAC10428-2EB1-474F-B784-11EFFB6BC67A}"/>
    <cellStyle name="Percent 5 8 2" xfId="497" xr:uid="{86828838-4870-4389-9A54-693F18888F67}"/>
    <cellStyle name="Percent 5 9" xfId="498" xr:uid="{B893F15D-8A35-4F97-BC52-9E2D3CAC35C7}"/>
    <cellStyle name="Percent 6" xfId="311" xr:uid="{D873231B-102B-44E0-977B-966C53DC635A}"/>
    <cellStyle name="Percent 7" xfId="507" xr:uid="{23D43D9D-BCA1-40C0-B64F-670896AA97CC}"/>
    <cellStyle name="Percent 8" xfId="517" xr:uid="{FAE66668-5F2B-4346-8CE9-DADAA40BDB3C}"/>
    <cellStyle name="Percent 9" xfId="312" xr:uid="{391CD977-4F54-43D3-A6A6-E011DD3134F7}"/>
    <cellStyle name="Total 2" xfId="313" xr:uid="{AD78DB63-643D-4318-8D79-FD463833707C}"/>
    <cellStyle name="Warning Text 2" xfId="314" xr:uid="{A851E948-C788-467E-B52C-F24FCBD6BB33}"/>
  </cellStyles>
  <dxfs count="16">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s>
  <tableStyles count="0" defaultTableStyle="TableStyleMedium2" defaultPivotStyle="PivotStyleLight16"/>
  <colors>
    <mruColors>
      <color rgb="FFC6E0B4"/>
      <color rgb="FFFADCBC"/>
      <color rgb="FFB3FFFF"/>
      <color rgb="FFFFEFF5"/>
      <color rgb="FF9DF5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NIPA Consistent State Purchases Growth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Pre-Pandemic CBO State Purchases</c:v>
          </c:tx>
          <c:spPr>
            <a:ln w="28575" cap="rnd">
              <a:solidFill>
                <a:schemeClr val="accent1"/>
              </a:solidFill>
              <a:round/>
            </a:ln>
            <a:effectLst/>
          </c:spPr>
          <c:marker>
            <c:symbol val="none"/>
          </c:marker>
          <c:cat>
            <c:strRef>
              <c:f>'Federal and State Purchases'!$H$24:$U$24</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Purchases'!$AO$56:$BB$56</c:f>
              <c:numCache>
                <c:formatCode>#,##0</c:formatCode>
                <c:ptCount val="14"/>
                <c:pt idx="0">
                  <c:v>2368</c:v>
                </c:pt>
                <c:pt idx="1">
                  <c:v>2391</c:v>
                </c:pt>
                <c:pt idx="2">
                  <c:v>2410</c:v>
                </c:pt>
                <c:pt idx="3">
                  <c:v>2432</c:v>
                </c:pt>
                <c:pt idx="4">
                  <c:v>2455</c:v>
                </c:pt>
                <c:pt idx="5">
                  <c:v>2477</c:v>
                </c:pt>
                <c:pt idx="6">
                  <c:v>2500</c:v>
                </c:pt>
                <c:pt idx="7">
                  <c:v>2523</c:v>
                </c:pt>
                <c:pt idx="8">
                  <c:v>2546</c:v>
                </c:pt>
                <c:pt idx="9">
                  <c:v>2571</c:v>
                </c:pt>
                <c:pt idx="10">
                  <c:v>2595</c:v>
                </c:pt>
                <c:pt idx="11">
                  <c:v>2621</c:v>
                </c:pt>
                <c:pt idx="12">
                  <c:v>2646</c:v>
                </c:pt>
                <c:pt idx="13">
                  <c:v>2672</c:v>
                </c:pt>
              </c:numCache>
            </c:numRef>
          </c:val>
          <c:smooth val="0"/>
          <c:extLst>
            <c:ext xmlns:c16="http://schemas.microsoft.com/office/drawing/2014/chart" uri="{C3380CC4-5D6E-409C-BE32-E72D297353CC}">
              <c16:uniqueId val="{00000001-29E8-4D0D-B2E6-2BEF5497E7DE}"/>
            </c:ext>
          </c:extLst>
        </c:ser>
        <c:ser>
          <c:idx val="2"/>
          <c:order val="2"/>
          <c:tx>
            <c:v>Our State Purchases</c:v>
          </c:tx>
          <c:spPr>
            <a:ln w="28575" cap="rnd">
              <a:solidFill>
                <a:schemeClr val="accent3"/>
              </a:solidFill>
              <a:round/>
            </a:ln>
            <a:effectLst/>
          </c:spPr>
          <c:marker>
            <c:symbol val="none"/>
          </c:marker>
          <c:cat>
            <c:strRef>
              <c:f>'Federal and State Purchases'!$H$24:$U$24</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Purchases'!$H$27:$U$27</c:f>
              <c:numCache>
                <c:formatCode>#,##0</c:formatCode>
                <c:ptCount val="14"/>
                <c:pt idx="0">
                  <c:v>2329.1999999999998</c:v>
                </c:pt>
                <c:pt idx="1">
                  <c:v>2376.9</c:v>
                </c:pt>
                <c:pt idx="2">
                  <c:v>2334.6</c:v>
                </c:pt>
                <c:pt idx="3">
                  <c:v>2346.5</c:v>
                </c:pt>
                <c:pt idx="4">
                  <c:v>2373</c:v>
                </c:pt>
                <c:pt idx="5">
                  <c:v>2408.6999999999998</c:v>
                </c:pt>
                <c:pt idx="6">
                  <c:v>2452.6999999999998</c:v>
                </c:pt>
                <c:pt idx="7">
                  <c:v>2511.8436452174183</c:v>
                </c:pt>
                <c:pt idx="8">
                  <c:v>2572.4134619069305</c:v>
                </c:pt>
                <c:pt idx="9">
                  <c:v>2628.4359475389774</c:v>
                </c:pt>
                <c:pt idx="10">
                  <c:v>2679.4973817692357</c:v>
                </c:pt>
                <c:pt idx="11">
                  <c:v>2725.2056548484343</c:v>
                </c:pt>
                <c:pt idx="12">
                  <c:v>2761.9282764357772</c:v>
                </c:pt>
                <c:pt idx="13">
                  <c:v>2795.8233077203895</c:v>
                </c:pt>
              </c:numCache>
            </c:numRef>
          </c:val>
          <c:smooth val="0"/>
          <c:extLst>
            <c:ext xmlns:c16="http://schemas.microsoft.com/office/drawing/2014/chart" uri="{C3380CC4-5D6E-409C-BE32-E72D297353CC}">
              <c16:uniqueId val="{00000003-29E8-4D0D-B2E6-2BEF5497E7DE}"/>
            </c:ext>
          </c:extLst>
        </c:ser>
        <c:ser>
          <c:idx val="3"/>
          <c:order val="3"/>
          <c:tx>
            <c:v>July 2021 CBO State Purchases</c:v>
          </c:tx>
          <c:spPr>
            <a:ln w="28575" cap="rnd">
              <a:solidFill>
                <a:schemeClr val="accent4"/>
              </a:solidFill>
              <a:round/>
            </a:ln>
            <a:effectLst/>
          </c:spPr>
          <c:marker>
            <c:symbol val="none"/>
          </c:marker>
          <c:val>
            <c:numRef>
              <c:f>'Federal and State Purchases'!$AO$58:$BB$58</c:f>
              <c:numCache>
                <c:formatCode>0</c:formatCode>
                <c:ptCount val="14"/>
                <c:pt idx="0">
                  <c:v>2357.4</c:v>
                </c:pt>
                <c:pt idx="1">
                  <c:v>2381.6</c:v>
                </c:pt>
                <c:pt idx="2">
                  <c:v>2334.5</c:v>
                </c:pt>
                <c:pt idx="3">
                  <c:v>2329.6</c:v>
                </c:pt>
                <c:pt idx="4">
                  <c:v>2341.6999999999998</c:v>
                </c:pt>
                <c:pt idx="5">
                  <c:v>2395.9</c:v>
                </c:pt>
                <c:pt idx="6">
                  <c:v>2478.4</c:v>
                </c:pt>
                <c:pt idx="7">
                  <c:v>2536.9</c:v>
                </c:pt>
                <c:pt idx="8">
                  <c:v>2569.3000000000002</c:v>
                </c:pt>
                <c:pt idx="9">
                  <c:v>2603.9</c:v>
                </c:pt>
                <c:pt idx="10">
                  <c:v>2640.6</c:v>
                </c:pt>
                <c:pt idx="11">
                  <c:v>2667.4</c:v>
                </c:pt>
                <c:pt idx="12">
                  <c:v>2690.6</c:v>
                </c:pt>
                <c:pt idx="13">
                  <c:v>2713.8</c:v>
                </c:pt>
              </c:numCache>
            </c:numRef>
          </c:val>
          <c:smooth val="0"/>
          <c:extLst>
            <c:ext xmlns:c16="http://schemas.microsoft.com/office/drawing/2014/chart" uri="{C3380CC4-5D6E-409C-BE32-E72D297353CC}">
              <c16:uniqueId val="{00000000-5F1F-401D-8249-D0F9E8C1B15D}"/>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spPr>
                  <a:ln w="28575" cap="rnd">
                    <a:solidFill>
                      <a:schemeClr val="accent2"/>
                    </a:solidFill>
                    <a:round/>
                  </a:ln>
                  <a:effectLst/>
                </c:spPr>
                <c:marker>
                  <c:symbol val="none"/>
                </c:marker>
                <c:cat>
                  <c:strRef>
                    <c:extLst>
                      <c:ext uri="{02D57815-91ED-43cb-92C2-25804820EDAC}">
                        <c15:formulaRef>
                          <c15:sqref>'Federal and State Purchases'!$H$24:$U$24</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Purchases'!$AO$57:$BB$57</c15:sqref>
                        </c15:formulaRef>
                      </c:ext>
                    </c:extLst>
                    <c:numCache>
                      <c:formatCode>General</c:formatCode>
                      <c:ptCount val="14"/>
                      <c:pt idx="0">
                        <c:v>2357</c:v>
                      </c:pt>
                      <c:pt idx="1">
                        <c:v>2382</c:v>
                      </c:pt>
                      <c:pt idx="2">
                        <c:v>2335</c:v>
                      </c:pt>
                      <c:pt idx="3">
                        <c:v>2330</c:v>
                      </c:pt>
                      <c:pt idx="4">
                        <c:v>2318</c:v>
                      </c:pt>
                      <c:pt idx="5">
                        <c:v>2339</c:v>
                      </c:pt>
                      <c:pt idx="6">
                        <c:v>2361</c:v>
                      </c:pt>
                      <c:pt idx="7">
                        <c:v>2379</c:v>
                      </c:pt>
                      <c:pt idx="8">
                        <c:v>2397</c:v>
                      </c:pt>
                      <c:pt idx="9">
                        <c:v>2417</c:v>
                      </c:pt>
                      <c:pt idx="10">
                        <c:v>2439</c:v>
                      </c:pt>
                      <c:pt idx="11">
                        <c:v>2462</c:v>
                      </c:pt>
                      <c:pt idx="12">
                        <c:v>2486</c:v>
                      </c:pt>
                      <c:pt idx="13">
                        <c:v>2513</c:v>
                      </c:pt>
                    </c:numCache>
                  </c:numRef>
                </c:val>
                <c:smooth val="0"/>
                <c:extLst>
                  <c:ext xmlns:c16="http://schemas.microsoft.com/office/drawing/2014/chart" uri="{C3380CC4-5D6E-409C-BE32-E72D297353CC}">
                    <c16:uniqueId val="{00000002-29E8-4D0D-B2E6-2BEF5497E7DE}"/>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3011561126312551"/>
              <c:y val="0.846146452577666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min val="2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FIM Consistent State Purchases Growth Comparison</a:t>
            </a:r>
          </a:p>
        </c:rich>
      </c:tx>
      <c:overlay val="0"/>
      <c:spPr>
        <a:noFill/>
        <a:ln>
          <a:noFill/>
        </a:ln>
        <a:effectLst/>
      </c:spPr>
    </c:title>
    <c:autoTitleDeleted val="0"/>
    <c:plotArea>
      <c:layout/>
      <c:lineChart>
        <c:grouping val="standard"/>
        <c:varyColors val="0"/>
        <c:ser>
          <c:idx val="0"/>
          <c:order val="0"/>
          <c:tx>
            <c:v>Pre-Pandemic CBO State Purchases</c:v>
          </c:tx>
          <c:marker>
            <c:symbol val="none"/>
          </c:marker>
          <c:cat>
            <c:strRef>
              <c:f>'Federal and State Purchases'!$AO$51:$BB$51</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Purchases'!$AO$60:$BB$60</c:f>
              <c:numCache>
                <c:formatCode>#,##0</c:formatCode>
                <c:ptCount val="14"/>
                <c:pt idx="0">
                  <c:v>2088.5120000000002</c:v>
                </c:pt>
                <c:pt idx="1">
                  <c:v>2105.7440000000001</c:v>
                </c:pt>
                <c:pt idx="2">
                  <c:v>2000.115</c:v>
                </c:pt>
                <c:pt idx="3">
                  <c:v>2051.4499999999998</c:v>
                </c:pt>
                <c:pt idx="4">
                  <c:v>2097.8420000000001</c:v>
                </c:pt>
                <c:pt idx="5">
                  <c:v>2091.8150000000001</c:v>
                </c:pt>
                <c:pt idx="6">
                  <c:v>2076.9830000000002</c:v>
                </c:pt>
                <c:pt idx="7">
                  <c:v>2090.4215378446115</c:v>
                </c:pt>
                <c:pt idx="8">
                  <c:v>2077.6576264561404</c:v>
                </c:pt>
                <c:pt idx="9">
                  <c:v>2094.1978698801004</c:v>
                </c:pt>
                <c:pt idx="10">
                  <c:v>2100.100937924447</c:v>
                </c:pt>
                <c:pt idx="11">
                  <c:v>2107.4538989265375</c:v>
                </c:pt>
                <c:pt idx="12">
                  <c:v>2112.5148067822456</c:v>
                </c:pt>
                <c:pt idx="13">
                  <c:v>2117.8171124821069</c:v>
                </c:pt>
              </c:numCache>
            </c:numRef>
          </c:val>
          <c:smooth val="0"/>
          <c:extLst>
            <c:ext xmlns:c16="http://schemas.microsoft.com/office/drawing/2014/chart" uri="{C3380CC4-5D6E-409C-BE32-E72D297353CC}">
              <c16:uniqueId val="{00000001-4432-46FE-8D0F-CEF6B509F2C7}"/>
            </c:ext>
          </c:extLst>
        </c:ser>
        <c:ser>
          <c:idx val="2"/>
          <c:order val="2"/>
          <c:tx>
            <c:v>Our State Purchases</c:v>
          </c:tx>
          <c:marker>
            <c:symbol val="none"/>
          </c:marker>
          <c:cat>
            <c:strRef>
              <c:f>'Federal and State Purchases'!$AO$51:$BB$51</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Purchases'!$H$28:$U$28</c:f>
              <c:numCache>
                <c:formatCode>#,##0</c:formatCode>
                <c:ptCount val="14"/>
                <c:pt idx="0">
                  <c:v>2049.712</c:v>
                </c:pt>
                <c:pt idx="1">
                  <c:v>2091.6440000000002</c:v>
                </c:pt>
                <c:pt idx="2">
                  <c:v>1924.7149999999999</c:v>
                </c:pt>
                <c:pt idx="3">
                  <c:v>1965.95</c:v>
                </c:pt>
                <c:pt idx="4">
                  <c:v>2015.8420000000001</c:v>
                </c:pt>
                <c:pt idx="5">
                  <c:v>2023.5149999999999</c:v>
                </c:pt>
                <c:pt idx="6">
                  <c:v>2029.6829999999998</c:v>
                </c:pt>
                <c:pt idx="7">
                  <c:v>2079.2651830620298</c:v>
                </c:pt>
                <c:pt idx="8">
                  <c:v>2104.0710883630709</c:v>
                </c:pt>
                <c:pt idx="9">
                  <c:v>2151.6338174190778</c:v>
                </c:pt>
                <c:pt idx="10">
                  <c:v>2184.5983196936827</c:v>
                </c:pt>
                <c:pt idx="11">
                  <c:v>2211.6595537749718</c:v>
                </c:pt>
                <c:pt idx="12">
                  <c:v>2228.4430832180233</c:v>
                </c:pt>
                <c:pt idx="13">
                  <c:v>2241.6404202024964</c:v>
                </c:pt>
              </c:numCache>
            </c:numRef>
          </c:val>
          <c:smooth val="0"/>
          <c:extLst>
            <c:ext xmlns:c16="http://schemas.microsoft.com/office/drawing/2014/chart" uri="{C3380CC4-5D6E-409C-BE32-E72D297353CC}">
              <c16:uniqueId val="{00000003-4432-46FE-8D0F-CEF6B509F2C7}"/>
            </c:ext>
          </c:extLst>
        </c:ser>
        <c:ser>
          <c:idx val="3"/>
          <c:order val="3"/>
          <c:tx>
            <c:v>July 2021 CBO State Purchases</c:v>
          </c:tx>
          <c:marker>
            <c:symbol val="none"/>
          </c:marker>
          <c:val>
            <c:numRef>
              <c:f>'Federal and State Purchases'!$AO$62:$BB$62</c:f>
              <c:numCache>
                <c:formatCode>#,##0</c:formatCode>
                <c:ptCount val="14"/>
                <c:pt idx="0">
                  <c:v>2077.9120000000003</c:v>
                </c:pt>
                <c:pt idx="1">
                  <c:v>2096.3440000000001</c:v>
                </c:pt>
                <c:pt idx="2">
                  <c:v>1924.615</c:v>
                </c:pt>
                <c:pt idx="3">
                  <c:v>1949.05</c:v>
                </c:pt>
                <c:pt idx="4">
                  <c:v>1984.5419999999999</c:v>
                </c:pt>
                <c:pt idx="5">
                  <c:v>2010.7150000000001</c:v>
                </c:pt>
                <c:pt idx="6">
                  <c:v>2055.3829999999998</c:v>
                </c:pt>
                <c:pt idx="7">
                  <c:v>2104.3215378446116</c:v>
                </c:pt>
                <c:pt idx="8">
                  <c:v>2100.9576264561406</c:v>
                </c:pt>
                <c:pt idx="9">
                  <c:v>2127.0978698801005</c:v>
                </c:pt>
                <c:pt idx="10">
                  <c:v>2145.7009379244469</c:v>
                </c:pt>
                <c:pt idx="11">
                  <c:v>2153.853898926538</c:v>
                </c:pt>
                <c:pt idx="12">
                  <c:v>2157.114806782246</c:v>
                </c:pt>
                <c:pt idx="13">
                  <c:v>2159.6171124821071</c:v>
                </c:pt>
              </c:numCache>
            </c:numRef>
          </c:val>
          <c:smooth val="0"/>
          <c:extLst>
            <c:ext xmlns:c16="http://schemas.microsoft.com/office/drawing/2014/chart" uri="{C3380CC4-5D6E-409C-BE32-E72D297353CC}">
              <c16:uniqueId val="{00000000-F641-4256-8204-01E5F36E781F}"/>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marker>
                  <c:symbol val="none"/>
                </c:marker>
                <c:cat>
                  <c:strRef>
                    <c:extLst>
                      <c:ext uri="{02D57815-91ED-43cb-92C2-25804820EDAC}">
                        <c15:formulaRef>
                          <c15:sqref>'Federal and State Purchases'!$AO$51:$BB$51</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Purchases'!$AO$61:$BB$61</c15:sqref>
                        </c15:formulaRef>
                      </c:ext>
                    </c:extLst>
                    <c:numCache>
                      <c:formatCode>#,##0</c:formatCode>
                      <c:ptCount val="14"/>
                      <c:pt idx="0">
                        <c:v>2077.5120000000002</c:v>
                      </c:pt>
                      <c:pt idx="1">
                        <c:v>2096.7440000000001</c:v>
                      </c:pt>
                      <c:pt idx="2">
                        <c:v>1925.115</c:v>
                      </c:pt>
                      <c:pt idx="3">
                        <c:v>1949.45</c:v>
                      </c:pt>
                      <c:pt idx="4">
                        <c:v>1960.8420000000001</c:v>
                      </c:pt>
                      <c:pt idx="5">
                        <c:v>1953.8150000000001</c:v>
                      </c:pt>
                      <c:pt idx="6">
                        <c:v>1937.9829999999999</c:v>
                      </c:pt>
                      <c:pt idx="7">
                        <c:v>1946.4215378446115</c:v>
                      </c:pt>
                      <c:pt idx="8">
                        <c:v>1928.6576264561402</c:v>
                      </c:pt>
                      <c:pt idx="9">
                        <c:v>1940.1978698801004</c:v>
                      </c:pt>
                      <c:pt idx="10">
                        <c:v>1944.100937924447</c:v>
                      </c:pt>
                      <c:pt idx="11">
                        <c:v>1948.4538989265377</c:v>
                      </c:pt>
                      <c:pt idx="12">
                        <c:v>1952.5148067822458</c:v>
                      </c:pt>
                      <c:pt idx="13">
                        <c:v>1958.8171124821069</c:v>
                      </c:pt>
                    </c:numCache>
                  </c:numRef>
                </c:val>
                <c:smooth val="0"/>
                <c:extLst>
                  <c:ext xmlns:c16="http://schemas.microsoft.com/office/drawing/2014/chart" uri="{C3380CC4-5D6E-409C-BE32-E72D297353CC}">
                    <c16:uniqueId val="{00000002-4432-46FE-8D0F-CEF6B509F2C7}"/>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4010115970941775"/>
              <c:y val="0.84553150456403547"/>
            </c:manualLayout>
          </c:layout>
          <c:overlay val="0"/>
          <c:spPr>
            <a:noFill/>
            <a:ln>
              <a:noFill/>
            </a:ln>
            <a:effectLst/>
          </c:sp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plotArea>
    <c:legend>
      <c:legendPos val="b"/>
      <c:layout>
        <c:manualLayout>
          <c:xMode val="edge"/>
          <c:yMode val="edge"/>
          <c:x val="7.5907062035889539E-2"/>
          <c:y val="0.90829808505729448"/>
          <c:w val="0.9"/>
          <c:h val="5.071350398428765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37</xdr:col>
      <xdr:colOff>254000</xdr:colOff>
      <xdr:row>26</xdr:row>
      <xdr:rowOff>0</xdr:rowOff>
    </xdr:from>
    <xdr:to>
      <xdr:col>44</xdr:col>
      <xdr:colOff>539348</xdr:colOff>
      <xdr:row>46</xdr:row>
      <xdr:rowOff>20621</xdr:rowOff>
    </xdr:to>
    <xdr:graphicFrame macro="">
      <xdr:nvGraphicFramePr>
        <xdr:cNvPr id="2" name="Chart 1">
          <a:extLst>
            <a:ext uri="{FF2B5EF4-FFF2-40B4-BE49-F238E27FC236}">
              <a16:creationId xmlns:a16="http://schemas.microsoft.com/office/drawing/2014/main" id="{13CC8BD3-0C95-451D-877B-92E70D3985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92678</xdr:colOff>
      <xdr:row>26</xdr:row>
      <xdr:rowOff>0</xdr:rowOff>
    </xdr:from>
    <xdr:to>
      <xdr:col>55</xdr:col>
      <xdr:colOff>-1</xdr:colOff>
      <xdr:row>46</xdr:row>
      <xdr:rowOff>32959</xdr:rowOff>
    </xdr:to>
    <xdr:graphicFrame macro="">
      <xdr:nvGraphicFramePr>
        <xdr:cNvPr id="3" name="Chart 2">
          <a:extLst>
            <a:ext uri="{FF2B5EF4-FFF2-40B4-BE49-F238E27FC236}">
              <a16:creationId xmlns:a16="http://schemas.microsoft.com/office/drawing/2014/main" id="{93EFD999-C6E7-4175-8E4F-4381EFD380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Sophia Campbell" id="{58CF8BEC-4104-46F7-BE4F-2C9403635492}" userId="S::SCampbell@brookings.edu::08ba02a6-9c19-44f8-b6b8-8043641915ad" providerId="AD"/>
  <person displayName="Manuel Alcala Kovalski" id="{6F934F46-906E-4DFC-AA15-8C66AF925C04}" userId="S::malcalakovalski@brookings.edu::65ca0f03-2f5c-48fe-8ae6-628c3a907f6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3E6EBD-DE38-4D49-A30A-FBD05BFC04A2}" name="Table1" displayName="Table1" ref="A2:D50" totalsRowShown="0" headerRowDxfId="5" dataDxfId="4">
  <autoFilter ref="A2:D50" xr:uid="{AFE7EBBA-0E52-684B-AE3F-DAE47002C36D}"/>
  <tableColumns count="4">
    <tableColumn id="1" xr3:uid="{1CBC7486-21F3-4D68-AEAB-B260D3DC1265}" name="Provision" dataDxfId="3"/>
    <tableColumn id="2" xr3:uid="{B72D09CC-D35A-4A45-8D8D-9C97129E01A1}" name="Ten year cost (annualized)" dataDxfId="2"/>
    <tableColumn id="4" xr3:uid="{A8BE311C-E3F6-4043-8119-413ED4A13011}" name="Column1" dataDxfId="1"/>
    <tableColumn id="5" xr3:uid="{A41ECCE3-5E03-45CB-9B64-5E91C95099AB}" name="Column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4" dT="2021-06-14T11:28:38.43" personId="{58CF8BEC-4104-46F7-BE4F-2C9403635492}" id="{BB2BD600-D27D-45BD-8287-F361E12EE9C4}">
    <text>https://www.cbo.gov/system/files/2020-04/hr748.pdf</text>
  </threadedComment>
  <threadedComment ref="C55"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56" dT="2021-06-11T14:09:21.80" personId="{58CF8BEC-4104-46F7-BE4F-2C9403635492}" id="{57CD4897-BB4E-42F1-89BB-E63A5874F81B}">
    <text>Total provider relief fund is 100, but we assume that 27% is in the form of grants based on the BEA data that came in.</text>
  </threadedComment>
</ThreadedComments>
</file>

<file path=xl/threadedComments/threadedComment2.xml><?xml version="1.0" encoding="utf-8"?>
<ThreadedComments xmlns="http://schemas.microsoft.com/office/spreadsheetml/2018/threadedcomments" xmlns:x="http://schemas.openxmlformats.org/spreadsheetml/2006/main">
  <threadedComment ref="B10" dT="2021-07-23T18:08:34.21" personId="{58CF8BEC-4104-46F7-BE4F-2C9403635492}" id="{FBF719C3-4EBB-4CF4-85D6-29DC43293E79}">
    <text>July 2021 CBO Economic Projections, Quarterly Table, Row 127</text>
  </threadedComment>
  <threadedComment ref="B11" dT="2021-07-23T18:08:42.26" personId="{58CF8BEC-4104-46F7-BE4F-2C9403635492}" id="{5C1A55B5-EFE3-48D6-83D8-94CC860B4224}">
    <text>July 2021 CBO Economic Projections, Quarterly Table, Row 127</text>
  </threadedComment>
  <threadedComment ref="AM52" dT="2021-06-07T15:35:26.89" personId="{58CF8BEC-4104-46F7-BE4F-2C9403635492}" id="{5B268A7E-4684-4417-99DA-FD209D4D638F}">
    <text>January 2020 Ten Year Economic Projections, Quarterly Table, Row 131</text>
  </threadedComment>
  <threadedComment ref="AM53" dT="2021-07-07T15:58:20.18" personId="{58CF8BEC-4104-46F7-BE4F-2C9403635492}" id="{EDDC02C6-9D5A-4D48-BD38-306F90DEE81E}">
    <text>July 2021 Ten-Year Economic Projections, Quarterly Table, Row 130</text>
  </threadedComment>
  <threadedComment ref="AM56" dT="2021-06-08T18:07:26.42" personId="{58CF8BEC-4104-46F7-BE4F-2C9403635492}" id="{740ECA18-D6DC-4F42-982C-CBA3C5290FBF}">
    <text>January 2020 Ten Year Economic Projections, Quarterly Table, Row 130</text>
  </threadedComment>
  <threadedComment ref="AM57" dT="2021-06-08T18:07:37.18" personId="{58CF8BEC-4104-46F7-BE4F-2C9403635492}" id="{1C07D7AD-E31D-4773-BE5C-B49586DCA617}">
    <text>February 2021 Ten Year Economic Projections, Quarterly Table, Row 130</text>
  </threadedComment>
  <threadedComment ref="AM58" dT="2021-07-07T15:57:54.90" personId="{58CF8BEC-4104-46F7-BE4F-2C9403635492}" id="{ACC2DA47-74E7-4849-95C9-ED36B6AB864E}">
    <text>July 2021 Ten-Year Economic Projections, Quarterly Table, Row 129</text>
  </threadedComment>
</ThreadedComments>
</file>

<file path=xl/threadedComments/threadedComment3.xml><?xml version="1.0" encoding="utf-8"?>
<ThreadedComments xmlns="http://schemas.microsoft.com/office/spreadsheetml/2018/threadedcomments" xmlns:x="http://schemas.openxmlformats.org/spreadsheetml/2006/main">
  <threadedComment ref="B22" dT="2021-08-11T17:23:47.60" personId="{58CF8BEC-4104-46F7-BE4F-2C9403635492}" id="{5A6F0B75-1BEC-463F-B62E-540015F319F5}">
    <text>Disaster Loans and RRF are from BEA's Effects of Pandemic Legislation table with the release-- Haver doesn't include them yet.</text>
  </threadedComment>
</ThreadedComments>
</file>

<file path=xl/threadedComments/threadedComment4.xml><?xml version="1.0" encoding="utf-8"?>
<ThreadedComments xmlns="http://schemas.microsoft.com/office/spreadsheetml/2018/threadedcomments" xmlns:x="http://schemas.openxmlformats.org/spreadsheetml/2006/main">
  <threadedComment ref="B22" dT="2021-07-28T15:56:51.95" personId="{58CF8BEC-4104-46F7-BE4F-2C9403635492}" id="{02C76BE2-5443-42F2-86DF-AF6D4E078647}">
    <text>July 2021 CBO Ten Year Economic Projections, Quarterly Table, Row 68</text>
  </threadedComment>
</ThreadedComments>
</file>

<file path=xl/threadedComments/threadedComment5.xml><?xml version="1.0" encoding="utf-8"?>
<ThreadedComments xmlns="http://schemas.microsoft.com/office/spreadsheetml/2018/threadedcomments" xmlns:x="http://schemas.openxmlformats.org/spreadsheetml/2006/main">
  <threadedComment ref="B16" dT="2021-07-23T18:19:04.97" personId="{58CF8BEC-4104-46F7-BE4F-2C9403635492}" id="{0AB5B9CF-1B2D-4A5C-BF3C-95BCD01E3E19}">
    <text>July 2021 CBO Ten Year Budget, Table 1-3 Adjusted, Row 19</text>
  </threadedComment>
</ThreadedComments>
</file>

<file path=xl/threadedComments/threadedComment6.xml><?xml version="1.0" encoding="utf-8"?>
<ThreadedComments xmlns="http://schemas.microsoft.com/office/spreadsheetml/2018/threadedcomments" xmlns:x="http://schemas.openxmlformats.org/spreadsheetml/2006/main">
  <threadedComment ref="B19" dT="2021-06-15T19:20:41.81" personId="{58CF8BEC-4104-46F7-BE4F-2C9403635492}" id="{CC69A487-3D08-4297-8FB7-7488CBF453BB}">
    <text>July 2021 CBO Ten Year Budget Projections, Table 1-3 Adjusted, Line 17</text>
  </threadedComment>
  <threadedComment ref="B23" dT="2021-06-15T19:20:41.81" personId="{58CF8BEC-4104-46F7-BE4F-2C9403635492}" id="{71B27ACE-8EB1-41E9-BE88-ED5FAE7FA520}">
    <text>CBO January 2020 Ten-Year Budget Projections, Table 1-3 Supplement, Line 19</text>
  </threadedComment>
</ThreadedComments>
</file>

<file path=xl/threadedComments/threadedComment7.xml><?xml version="1.0" encoding="utf-8"?>
<ThreadedComments xmlns="http://schemas.microsoft.com/office/spreadsheetml/2018/threadedcomments" xmlns:x="http://schemas.openxmlformats.org/spreadsheetml/2006/main">
  <threadedComment ref="B35" dT="2021-07-23T18:16:37.62" personId="{58CF8BEC-4104-46F7-BE4F-2C9403635492}" id="{24753AED-CAC4-444D-81F9-11531D47EC3F}">
    <text>July 2021 CBO Ten Year Budget Projections, Table 1-3 Adjusted, Row 11</text>
  </threadedComment>
  <threadedComment ref="J52" dT="2021-06-23T17:04:07.47" personId="{58CF8BEC-4104-46F7-BE4F-2C9403635492}" id="{D7348167-3C82-468E-B4C0-6427D8E833D4}">
    <text>Formula changes to grow I52 by a pre-covid counterfactual growth rate.</text>
  </threadedComment>
  <threadedComment ref="M52" dT="2021-06-23T17:04:39.04" personId="{58CF8BEC-4104-46F7-BE4F-2C9403635492}" id="{6EED6AD3-62EA-4002-BA5A-3406F4C9F84C}">
    <text>This formula change accounts for a step up in social security in Q1 of 2021 that is unrelated to Covid.</text>
  </threadedComment>
</ThreadedComments>
</file>

<file path=xl/threadedComments/threadedComment8.xml><?xml version="1.0" encoding="utf-8"?>
<ThreadedComments xmlns="http://schemas.microsoft.com/office/spreadsheetml/2018/threadedcomments" xmlns:x="http://schemas.openxmlformats.org/spreadsheetml/2006/main">
  <threadedComment ref="D24" dT="2021-07-23T18:29:44.86" personId="{58CF8BEC-4104-46F7-BE4F-2C9403635492}" id="{5BC45E12-A1BF-4D3A-8400-86F7FB4B639C}">
    <text>July 2021 CBO Revenue Projections, Table 1, Row 11</text>
  </threadedComment>
  <threadedComment ref="D25" dT="2021-07-23T18:30:19.48" personId="{58CF8BEC-4104-46F7-BE4F-2C9403635492}" id="{C93D758A-376E-4ADB-9FBC-C0583695E1EA}">
    <text>July 2021 CBO Revenue Projections, Table 1, Row 12</text>
  </threadedComment>
  <threadedComment ref="D27" dT="2021-07-23T18:32:18.69" personId="{58CF8BEC-4104-46F7-BE4F-2C9403635492}" id="{64D0EC66-8B96-40E7-A04C-C308174D41BF}">
    <text>July 2021 CBO Revenue Projections, Table 1, Row 15</text>
  </threadedComment>
  <threadedComment ref="D28" dT="2021-07-23T18:32:27.82" personId="{58CF8BEC-4104-46F7-BE4F-2C9403635492}" id="{AD68B43D-B368-4F10-8676-0F65E9119296}">
    <text>July 2021 CBO Revenue Projections, Table 1, Row 17</text>
  </threadedComment>
  <threadedComment ref="D29" dT="2021-07-23T18:30:34.27" personId="{58CF8BEC-4104-46F7-BE4F-2C9403635492}" id="{655C1D52-3072-4BEF-AB85-7EA4B5DD03E3}">
    <text>July 2021 CBO Revenue Projections, Table 1, Row 11</text>
  </threadedComment>
  <threadedComment ref="D47" dT="2021-07-23T18:33:48.98" personId="{58CF8BEC-4104-46F7-BE4F-2C9403635492}" id="{AFB606EB-2C77-4FBA-805A-853A55D6F8B3}">
    <text>July 2021 CBO Economic Projections, Fiscal Year Table, Row 92</text>
  </threadedComment>
  <threadedComment ref="D48" dT="2021-07-23T18:33:54.55" personId="{58CF8BEC-4104-46F7-BE4F-2C9403635492}" id="{0B84B7CB-88AC-4DB2-A9D9-A38BD6B560A2}">
    <text>July 2021 CBO Economic Projections, Fiscal Year Table, Row 96</text>
  </threadedComment>
  <threadedComment ref="D49" dT="2021-07-23T18:34:05.07" personId="{58CF8BEC-4104-46F7-BE4F-2C9403635492}" id="{0C8C4388-8CB7-4F64-8ECC-A3E55BF48974}">
    <text>July 2021 CBO Economic Projections, Fiscal Year Table, Row 116</text>
  </threadedComment>
  <threadedComment ref="D50" dT="2021-07-23T18:34:12.63" personId="{58CF8BEC-4104-46F7-BE4F-2C9403635492}" id="{568717E5-188C-48CA-9FAB-434BF53ED207}">
    <text>July 2021 CBO Economic Projections, Fiscal Year Table, Row 110</text>
  </threadedComment>
  <threadedComment ref="D74" dT="2021-07-23T18:49:30.10" personId="{58CF8BEC-4104-46F7-BE4F-2C9403635492}" id="{7899D3FD-3161-4B20-BD11-089D65961CBD}">
    <text>July 2021 CBO Ten Year Economic Projections, Quarterly Table, Row 96</text>
  </threadedComment>
  <threadedComment ref="D75" dT="2021-07-23T18:56:56.50" personId="{58CF8BEC-4104-46F7-BE4F-2C9403635492}" id="{92DCE874-AC14-4080-8F99-EF0B35B01255}">
    <text>July 2021 CBO Ten Year Economic Projections, Quarterly Table, Row 116</text>
  </threadedComment>
  <threadedComment ref="D76" dT="2021-07-23T18:57:48.39" personId="{58CF8BEC-4104-46F7-BE4F-2C9403635492}" id="{0190A1C9-6B62-4C8C-B798-03309CF236D5}">
    <text>July 2021 CBO Ten Year Economic Projections, Quarterly Table, Row 110</text>
  </threadedComment>
  <threadedComment ref="N99" dT="2021-08-11T19:55:36.94" personId="{58CF8BEC-4104-46F7-BE4F-2C9403635492}" id="{A3D70EB2-D10F-4710-B97B-254019547227}">
    <text>Formula change!</text>
  </threadedComment>
</ThreadedComments>
</file>

<file path=xl/threadedComments/threadedComment9.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0.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bea.gov/news/current-releas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printerSettings" Target="../printerSettings/printerSettings6.bin"/><Relationship Id="rId2" Type="http://schemas.openxmlformats.org/officeDocument/2006/relationships/hyperlink" Target="https://www.bea.gov/help/faq/1409"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8" TargetMode="External"/><Relationship Id="rId4" Type="http://schemas.openxmlformats.org/officeDocument/2006/relationships/hyperlink" Target="https://www.bea.gov/help/faq/1408"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americanactionforum.org/research/tracker-paycheck-protection-program-loans/" TargetMode="External"/></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 Id="rId4" Type="http://schemas.microsoft.com/office/2017/10/relationships/threadedComment" Target="../threadedComments/threadedComment1.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9.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 Id="rId4" Type="http://schemas.microsoft.com/office/2017/10/relationships/threadedComment" Target="../threadedComments/threadedComment3.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 Id="rId4" Type="http://schemas.microsoft.com/office/2017/10/relationships/threadedComment" Target="../threadedComments/threadedComment4.xml"/></Relationships>
</file>

<file path=xl/worksheets/_rels/sheet1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2.bin"/><Relationship Id="rId4" Type="http://schemas.microsoft.com/office/2017/10/relationships/threadedComment" Target="../threadedComments/threadedComment6.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2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3.bin"/><Relationship Id="rId4" Type="http://schemas.microsoft.com/office/2017/10/relationships/threadedComment" Target="../threadedComments/threadedComment7.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4.bin"/><Relationship Id="rId4" Type="http://schemas.microsoft.com/office/2017/10/relationships/threadedComment" Target="../threadedComments/threadedComment8.x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2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9.vml"/><Relationship Id="rId1" Type="http://schemas.openxmlformats.org/officeDocument/2006/relationships/printerSettings" Target="../printerSettings/printerSettings16.bin"/><Relationship Id="rId5" Type="http://schemas.microsoft.com/office/2017/10/relationships/threadedComment" Target="../threadedComments/threadedComment9.xml"/><Relationship Id="rId4" Type="http://schemas.openxmlformats.org/officeDocument/2006/relationships/comments" Target="../comments9.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7.bin"/><Relationship Id="rId4" Type="http://schemas.microsoft.com/office/2017/10/relationships/threadedComment" Target="../threadedComments/threadedComment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ED1C-004B-4E3F-BC10-2120AC3AFC1B}">
  <dimension ref="B10:Q44"/>
  <sheetViews>
    <sheetView topLeftCell="A7" zoomScale="57" workbookViewId="0">
      <selection activeCell="H25" sqref="H25"/>
    </sheetView>
  </sheetViews>
  <sheetFormatPr baseColWidth="10" defaultColWidth="8.83203125" defaultRowHeight="15"/>
  <cols>
    <col min="2" max="2" width="29.6640625" style="1011" customWidth="1"/>
    <col min="3" max="16" width="8.6640625" style="1011"/>
    <col min="17" max="17" width="38.6640625" style="1011" customWidth="1"/>
  </cols>
  <sheetData>
    <row r="10" spans="2:17">
      <c r="B10" s="1334" t="s">
        <v>1099</v>
      </c>
      <c r="C10" s="1335"/>
      <c r="D10" s="1335"/>
      <c r="E10" s="1335"/>
      <c r="F10" s="1335"/>
      <c r="G10" s="1335"/>
      <c r="H10" s="1335"/>
      <c r="I10" s="1335"/>
      <c r="J10" s="1335"/>
      <c r="K10" s="1335"/>
      <c r="L10" s="1335"/>
      <c r="M10" s="1335"/>
      <c r="N10" s="1335"/>
      <c r="O10" s="1335"/>
      <c r="P10" s="1335"/>
      <c r="Q10" s="1336"/>
    </row>
    <row r="11" spans="2:17">
      <c r="B11" s="1337"/>
      <c r="C11" s="1338"/>
      <c r="D11" s="1338"/>
      <c r="E11" s="1338"/>
      <c r="F11" s="1338"/>
      <c r="G11" s="1338"/>
      <c r="H11" s="1338"/>
      <c r="I11" s="1338"/>
      <c r="J11" s="1338"/>
      <c r="K11" s="1338"/>
      <c r="L11" s="1338"/>
      <c r="M11" s="1338"/>
      <c r="N11" s="1338"/>
      <c r="O11" s="1338"/>
      <c r="P11" s="1338"/>
      <c r="Q11" s="1339"/>
    </row>
    <row r="12" spans="2:17">
      <c r="B12" s="1008" t="s">
        <v>1100</v>
      </c>
      <c r="C12" s="1012"/>
      <c r="D12" s="1012"/>
      <c r="E12" s="1012"/>
      <c r="F12" s="1012"/>
      <c r="G12" s="1012"/>
      <c r="H12" s="1012"/>
      <c r="I12" s="1012"/>
      <c r="J12" s="1012"/>
      <c r="K12" s="1012"/>
      <c r="L12" s="1012"/>
      <c r="M12" s="1012"/>
      <c r="N12" s="1012"/>
      <c r="O12" s="1012"/>
      <c r="P12" s="1012"/>
      <c r="Q12" s="1013"/>
    </row>
    <row r="13" spans="2:17">
      <c r="B13" s="1009" t="s">
        <v>1101</v>
      </c>
      <c r="C13" s="1340" t="s">
        <v>1115</v>
      </c>
      <c r="D13" s="1340"/>
      <c r="E13" s="1340"/>
      <c r="F13" s="1340"/>
      <c r="G13" s="1340"/>
      <c r="H13" s="1340"/>
      <c r="I13" s="1340"/>
      <c r="J13" s="1340"/>
      <c r="K13" s="1340"/>
      <c r="L13" s="1340"/>
      <c r="M13" s="1340"/>
      <c r="N13" s="1340"/>
      <c r="O13" s="1340"/>
      <c r="P13" s="1340"/>
      <c r="Q13" s="1341"/>
    </row>
    <row r="14" spans="2:17">
      <c r="B14" s="1009" t="s">
        <v>1102</v>
      </c>
      <c r="C14" s="1014" t="s">
        <v>1116</v>
      </c>
      <c r="D14" s="1014"/>
      <c r="E14" s="1014"/>
      <c r="F14" s="1014"/>
      <c r="G14" s="1014"/>
      <c r="H14" s="1014"/>
      <c r="I14" s="1014"/>
      <c r="J14" s="1014"/>
      <c r="K14" s="1014"/>
      <c r="L14" s="1014"/>
      <c r="M14" s="1014"/>
      <c r="N14" s="1014"/>
      <c r="O14" s="1014"/>
      <c r="P14" s="1014"/>
      <c r="Q14" s="1015"/>
    </row>
    <row r="15" spans="2:17" s="560" customFormat="1">
      <c r="B15" s="1009" t="s">
        <v>1103</v>
      </c>
      <c r="C15" s="1014" t="s">
        <v>1117</v>
      </c>
      <c r="D15" s="1014"/>
      <c r="E15" s="1014"/>
      <c r="F15" s="1014"/>
      <c r="G15" s="1014"/>
      <c r="H15" s="1014"/>
      <c r="I15" s="1014"/>
      <c r="J15" s="1014"/>
      <c r="K15" s="1014"/>
      <c r="L15" s="1014"/>
      <c r="M15" s="1014"/>
      <c r="N15" s="1014"/>
      <c r="O15" s="1014"/>
      <c r="P15" s="1014"/>
      <c r="Q15" s="1015"/>
    </row>
    <row r="16" spans="2:17" s="560" customFormat="1">
      <c r="B16" s="1009" t="s">
        <v>1104</v>
      </c>
      <c r="C16" s="1014" t="s">
        <v>1127</v>
      </c>
      <c r="D16" s="1014"/>
      <c r="E16" s="1014"/>
      <c r="F16" s="1014"/>
      <c r="G16" s="1014"/>
      <c r="H16" s="1014"/>
      <c r="I16" s="1014"/>
      <c r="J16" s="1014"/>
      <c r="K16" s="1014"/>
      <c r="L16" s="1014"/>
      <c r="M16" s="1014"/>
      <c r="N16" s="1014"/>
      <c r="O16" s="1014"/>
      <c r="P16" s="1014"/>
      <c r="Q16" s="1015"/>
    </row>
    <row r="17" spans="2:17" s="560" customFormat="1">
      <c r="B17" s="1009" t="s">
        <v>1151</v>
      </c>
      <c r="C17" s="1014" t="s">
        <v>1152</v>
      </c>
      <c r="D17" s="1014"/>
      <c r="E17" s="1014"/>
      <c r="F17" s="1014"/>
      <c r="G17" s="1014"/>
      <c r="H17" s="1014"/>
      <c r="I17" s="1014"/>
      <c r="J17" s="1014"/>
      <c r="K17" s="1014"/>
      <c r="L17" s="1014"/>
      <c r="M17" s="1014"/>
      <c r="N17" s="1014"/>
      <c r="O17" s="1014"/>
      <c r="P17" s="1014"/>
      <c r="Q17" s="1015"/>
    </row>
    <row r="18" spans="2:17" s="560" customFormat="1">
      <c r="B18" s="1009" t="s">
        <v>1105</v>
      </c>
      <c r="C18" s="1014" t="s">
        <v>1128</v>
      </c>
      <c r="D18" s="1014"/>
      <c r="E18" s="1014"/>
      <c r="F18" s="1014"/>
      <c r="G18" s="1014"/>
      <c r="H18" s="1014"/>
      <c r="I18" s="1014"/>
      <c r="J18" s="1014"/>
      <c r="K18" s="1014"/>
      <c r="L18" s="1014"/>
      <c r="M18" s="1014"/>
      <c r="N18" s="1014"/>
      <c r="O18" s="1014"/>
      <c r="P18" s="1014"/>
      <c r="Q18" s="1015"/>
    </row>
    <row r="19" spans="2:17" s="560" customFormat="1">
      <c r="B19" s="1009" t="s">
        <v>1106</v>
      </c>
      <c r="C19" s="1014" t="s">
        <v>1120</v>
      </c>
      <c r="D19" s="1014"/>
      <c r="E19" s="1014"/>
      <c r="F19" s="1014"/>
      <c r="G19" s="1014"/>
      <c r="H19" s="1014"/>
      <c r="I19" s="1014"/>
      <c r="J19" s="1014"/>
      <c r="K19" s="1014"/>
      <c r="L19" s="1014"/>
      <c r="M19" s="1014"/>
      <c r="N19" s="1014"/>
      <c r="O19" s="1014"/>
      <c r="P19" s="1014"/>
      <c r="Q19" s="1015"/>
    </row>
    <row r="20" spans="2:17" s="560" customFormat="1" ht="30.5" customHeight="1">
      <c r="B20" s="1009" t="s">
        <v>1107</v>
      </c>
      <c r="C20" s="1332" t="s">
        <v>1121</v>
      </c>
      <c r="D20" s="1332"/>
      <c r="E20" s="1332"/>
      <c r="F20" s="1332"/>
      <c r="G20" s="1332"/>
      <c r="H20" s="1332"/>
      <c r="I20" s="1332"/>
      <c r="J20" s="1332"/>
      <c r="K20" s="1332"/>
      <c r="L20" s="1332"/>
      <c r="M20" s="1332"/>
      <c r="N20" s="1332"/>
      <c r="O20" s="1332"/>
      <c r="P20" s="1332"/>
      <c r="Q20" s="1333"/>
    </row>
    <row r="21" spans="2:17" s="560" customFormat="1">
      <c r="B21" s="1009" t="s">
        <v>1210</v>
      </c>
      <c r="C21" s="1014" t="s">
        <v>1209</v>
      </c>
      <c r="D21" s="1014"/>
      <c r="E21" s="1014"/>
      <c r="F21" s="1014"/>
      <c r="G21" s="1014"/>
      <c r="H21" s="1014"/>
      <c r="I21" s="1014"/>
      <c r="J21" s="1014"/>
      <c r="K21" s="1014"/>
      <c r="L21" s="1014"/>
      <c r="M21" s="1014"/>
      <c r="N21" s="1014"/>
      <c r="O21" s="1014"/>
      <c r="P21" s="1014"/>
      <c r="Q21" s="1015"/>
    </row>
    <row r="22" spans="2:17" s="560" customFormat="1" ht="32" customHeight="1">
      <c r="B22" s="1009" t="s">
        <v>1119</v>
      </c>
      <c r="C22" s="1332" t="s">
        <v>1125</v>
      </c>
      <c r="D22" s="1332"/>
      <c r="E22" s="1332"/>
      <c r="F22" s="1332"/>
      <c r="G22" s="1332"/>
      <c r="H22" s="1332"/>
      <c r="I22" s="1332"/>
      <c r="J22" s="1332"/>
      <c r="K22" s="1332"/>
      <c r="L22" s="1332"/>
      <c r="M22" s="1332"/>
      <c r="N22" s="1332"/>
      <c r="O22" s="1332"/>
      <c r="P22" s="1332"/>
      <c r="Q22" s="1333"/>
    </row>
    <row r="23" spans="2:17" s="560" customFormat="1" ht="31" customHeight="1">
      <c r="B23" s="1009" t="s">
        <v>1108</v>
      </c>
      <c r="C23" s="1332" t="s">
        <v>1126</v>
      </c>
      <c r="D23" s="1332"/>
      <c r="E23" s="1332"/>
      <c r="F23" s="1332"/>
      <c r="G23" s="1332"/>
      <c r="H23" s="1332"/>
      <c r="I23" s="1332"/>
      <c r="J23" s="1332"/>
      <c r="K23" s="1332"/>
      <c r="L23" s="1332"/>
      <c r="M23" s="1332"/>
      <c r="N23" s="1332"/>
      <c r="O23" s="1332"/>
      <c r="P23" s="1332"/>
      <c r="Q23" s="1333"/>
    </row>
    <row r="24" spans="2:17" s="560" customFormat="1">
      <c r="B24" s="1009" t="s">
        <v>1109</v>
      </c>
      <c r="C24" s="1014" t="s">
        <v>1136</v>
      </c>
      <c r="D24" s="1014"/>
      <c r="E24" s="1014"/>
      <c r="F24" s="1014"/>
      <c r="G24" s="1014"/>
      <c r="H24" s="1014"/>
      <c r="I24" s="1014"/>
      <c r="J24" s="1014"/>
      <c r="K24" s="1014"/>
      <c r="L24" s="1014"/>
      <c r="M24" s="1014"/>
      <c r="N24" s="1014"/>
      <c r="O24" s="1014"/>
      <c r="P24" s="1014"/>
      <c r="Q24" s="1015"/>
    </row>
    <row r="25" spans="2:17" s="560" customFormat="1">
      <c r="B25" s="1009" t="s">
        <v>1110</v>
      </c>
      <c r="C25" s="1014" t="s">
        <v>1137</v>
      </c>
      <c r="D25" s="1014"/>
      <c r="E25" s="1014"/>
      <c r="F25" s="1014"/>
      <c r="G25" s="1014"/>
      <c r="H25" s="1014"/>
      <c r="I25" s="1014"/>
      <c r="J25" s="1014"/>
      <c r="K25" s="1014"/>
      <c r="L25" s="1014"/>
      <c r="M25" s="1014"/>
      <c r="N25" s="1014"/>
      <c r="O25" s="1014"/>
      <c r="P25" s="1014"/>
      <c r="Q25" s="1015"/>
    </row>
    <row r="26" spans="2:17" s="560" customFormat="1">
      <c r="B26" s="1009" t="s">
        <v>1111</v>
      </c>
      <c r="C26" s="1014" t="s">
        <v>1124</v>
      </c>
      <c r="D26" s="1014"/>
      <c r="E26" s="1014"/>
      <c r="F26" s="1014"/>
      <c r="G26" s="1014"/>
      <c r="H26" s="1014"/>
      <c r="I26" s="1014"/>
      <c r="J26" s="1014"/>
      <c r="K26" s="1014"/>
      <c r="L26" s="1014"/>
      <c r="M26" s="1014"/>
      <c r="N26" s="1014"/>
      <c r="O26" s="1014"/>
      <c r="P26" s="1014"/>
      <c r="Q26" s="1015"/>
    </row>
    <row r="27" spans="2:17" s="560" customFormat="1">
      <c r="B27" s="1009" t="s">
        <v>1112</v>
      </c>
      <c r="C27" s="1014" t="s">
        <v>1123</v>
      </c>
      <c r="D27" s="1014"/>
      <c r="E27" s="1014"/>
      <c r="F27" s="1014"/>
      <c r="G27" s="1014"/>
      <c r="H27" s="1014"/>
      <c r="I27" s="1014"/>
      <c r="J27" s="1014"/>
      <c r="K27" s="1014"/>
      <c r="L27" s="1014"/>
      <c r="M27" s="1014"/>
      <c r="N27" s="1014"/>
      <c r="O27" s="1014"/>
      <c r="P27" s="1014"/>
      <c r="Q27" s="1015"/>
    </row>
    <row r="28" spans="2:17">
      <c r="B28" s="1009" t="s">
        <v>1113</v>
      </c>
      <c r="C28" s="1014" t="s">
        <v>1122</v>
      </c>
      <c r="D28" s="1014"/>
      <c r="E28" s="1014"/>
      <c r="F28" s="1014"/>
      <c r="G28" s="1014"/>
      <c r="H28" s="1014"/>
      <c r="I28" s="1014"/>
      <c r="J28" s="1014"/>
      <c r="K28" s="1014"/>
      <c r="L28" s="1014"/>
      <c r="M28" s="1014"/>
      <c r="N28" s="1014"/>
      <c r="O28" s="1014"/>
      <c r="P28" s="1014"/>
      <c r="Q28" s="1015"/>
    </row>
    <row r="29" spans="2:17">
      <c r="B29" s="1009" t="s">
        <v>1114</v>
      </c>
      <c r="C29" s="1014" t="s">
        <v>1118</v>
      </c>
      <c r="D29" s="1014"/>
      <c r="E29" s="1014"/>
      <c r="F29" s="1014"/>
      <c r="G29" s="1014"/>
      <c r="H29" s="1014"/>
      <c r="I29" s="1014"/>
      <c r="J29" s="1014"/>
      <c r="K29" s="1014"/>
      <c r="L29" s="1014"/>
      <c r="M29" s="1014"/>
      <c r="N29" s="1014"/>
      <c r="O29" s="1014"/>
      <c r="P29" s="1014"/>
      <c r="Q29" s="1015"/>
    </row>
    <row r="30" spans="2:17">
      <c r="B30" s="1009"/>
      <c r="C30" s="1014"/>
      <c r="D30" s="1014"/>
      <c r="E30" s="1014"/>
      <c r="F30" s="1014"/>
      <c r="G30" s="1014"/>
      <c r="H30" s="1014"/>
      <c r="I30" s="1014"/>
      <c r="J30" s="1014"/>
      <c r="K30" s="1014"/>
      <c r="L30" s="1014"/>
      <c r="M30" s="1014"/>
      <c r="N30" s="1014"/>
      <c r="O30" s="1014"/>
      <c r="P30" s="1014"/>
      <c r="Q30" s="1015"/>
    </row>
    <row r="31" spans="2:17">
      <c r="B31" s="1010" t="s">
        <v>1135</v>
      </c>
      <c r="C31" s="1014"/>
      <c r="D31" s="1014"/>
      <c r="E31" s="1014"/>
      <c r="F31" s="1014"/>
      <c r="G31" s="1014"/>
      <c r="H31" s="1014"/>
      <c r="I31" s="1014"/>
      <c r="J31" s="1014"/>
      <c r="K31" s="1014"/>
      <c r="L31" s="1014"/>
      <c r="M31" s="1014"/>
      <c r="N31" s="1014"/>
      <c r="O31" s="1014"/>
      <c r="P31" s="1014"/>
      <c r="Q31" s="1015"/>
    </row>
    <row r="32" spans="2:17">
      <c r="B32" s="1009" t="s">
        <v>1129</v>
      </c>
      <c r="C32" s="1014"/>
      <c r="D32" s="1014"/>
      <c r="E32" s="1014"/>
      <c r="F32" s="1014"/>
      <c r="G32" s="1014"/>
      <c r="H32" s="1014"/>
      <c r="I32" s="1014"/>
      <c r="J32" s="1014"/>
      <c r="K32" s="1014"/>
      <c r="L32" s="1014"/>
      <c r="M32" s="1014"/>
      <c r="N32" s="1014"/>
      <c r="O32" s="1014"/>
      <c r="P32" s="1014"/>
      <c r="Q32" s="1015"/>
    </row>
    <row r="33" spans="2:17" ht="30.5" customHeight="1">
      <c r="B33" s="1331" t="s">
        <v>1134</v>
      </c>
      <c r="C33" s="1332"/>
      <c r="D33" s="1332"/>
      <c r="E33" s="1332"/>
      <c r="F33" s="1332"/>
      <c r="G33" s="1332"/>
      <c r="H33" s="1332"/>
      <c r="I33" s="1332"/>
      <c r="J33" s="1332"/>
      <c r="K33" s="1332"/>
      <c r="L33" s="1332"/>
      <c r="M33" s="1332"/>
      <c r="N33" s="1332"/>
      <c r="O33" s="1332"/>
      <c r="P33" s="1332"/>
      <c r="Q33" s="1333"/>
    </row>
    <row r="34" spans="2:17">
      <c r="B34" s="1019" t="s">
        <v>1130</v>
      </c>
      <c r="C34" s="1014"/>
      <c r="D34" s="1014"/>
      <c r="E34" s="1014"/>
      <c r="F34" s="1014"/>
      <c r="G34" s="1014"/>
      <c r="H34" s="1014"/>
      <c r="I34" s="1014"/>
      <c r="J34" s="1014"/>
      <c r="K34" s="1014"/>
      <c r="L34" s="1014"/>
      <c r="M34" s="1014"/>
      <c r="N34" s="1014"/>
      <c r="O34" s="1014"/>
      <c r="P34" s="1014"/>
      <c r="Q34" s="1015"/>
    </row>
    <row r="35" spans="2:17">
      <c r="B35" s="1009" t="s">
        <v>1133</v>
      </c>
      <c r="C35" s="1014"/>
      <c r="D35" s="1014"/>
      <c r="E35" s="1014"/>
      <c r="F35" s="1014"/>
      <c r="G35" s="1014"/>
      <c r="H35" s="1014"/>
      <c r="I35" s="1014"/>
      <c r="J35" s="1014"/>
      <c r="K35" s="1014"/>
      <c r="L35" s="1014"/>
      <c r="M35" s="1014"/>
      <c r="N35" s="1014"/>
      <c r="O35" s="1014"/>
      <c r="P35" s="1014"/>
      <c r="Q35" s="1015"/>
    </row>
    <row r="36" spans="2:17">
      <c r="B36" s="1009" t="s">
        <v>1131</v>
      </c>
      <c r="C36" s="1014"/>
      <c r="D36" s="1014"/>
      <c r="E36" s="1014"/>
      <c r="F36" s="1014"/>
      <c r="G36" s="1014"/>
      <c r="H36" s="1014"/>
      <c r="I36" s="1014"/>
      <c r="J36" s="1014"/>
      <c r="K36" s="1014"/>
      <c r="L36" s="1014"/>
      <c r="M36" s="1014"/>
      <c r="N36" s="1014"/>
      <c r="O36" s="1014"/>
      <c r="P36" s="1014"/>
      <c r="Q36" s="1015"/>
    </row>
    <row r="37" spans="2:17">
      <c r="B37" s="1018" t="s">
        <v>1132</v>
      </c>
      <c r="C37" s="1016"/>
      <c r="D37" s="1016"/>
      <c r="E37" s="1016"/>
      <c r="F37" s="1016"/>
      <c r="G37" s="1016"/>
      <c r="H37" s="1016"/>
      <c r="I37" s="1016"/>
      <c r="J37" s="1016"/>
      <c r="K37" s="1016"/>
      <c r="L37" s="1016"/>
      <c r="M37" s="1016"/>
      <c r="N37" s="1016"/>
      <c r="O37" s="1016"/>
      <c r="P37" s="1016"/>
      <c r="Q37" s="1017"/>
    </row>
    <row r="40" spans="2:17">
      <c r="B40" s="1020"/>
      <c r="C40" s="1020"/>
      <c r="D40" s="1020"/>
      <c r="E40" s="1020"/>
      <c r="F40" s="1020"/>
      <c r="G40" s="1020"/>
      <c r="H40" s="1020"/>
      <c r="I40" s="1020"/>
      <c r="J40" s="1020"/>
      <c r="K40" s="1020"/>
      <c r="L40" s="1020"/>
      <c r="M40" s="1020"/>
      <c r="N40" s="1020"/>
      <c r="O40" s="1020"/>
      <c r="P40" s="1020"/>
      <c r="Q40" s="1020"/>
    </row>
    <row r="41" spans="2:17">
      <c r="B41" s="1020"/>
      <c r="C41" s="1020"/>
      <c r="D41" s="1020"/>
      <c r="E41" s="1020"/>
      <c r="F41" s="1020"/>
      <c r="G41" s="1020"/>
      <c r="H41" s="1020"/>
      <c r="I41" s="1020"/>
      <c r="J41" s="1020"/>
      <c r="K41" s="1020"/>
      <c r="L41" s="1020"/>
      <c r="M41" s="1020"/>
      <c r="N41" s="1020"/>
      <c r="O41" s="1020"/>
      <c r="P41" s="1020"/>
      <c r="Q41" s="1020"/>
    </row>
    <row r="42" spans="2:17">
      <c r="B42" s="1020"/>
      <c r="C42" s="1020"/>
      <c r="D42" s="1020"/>
      <c r="E42" s="1020"/>
      <c r="F42" s="1020"/>
      <c r="G42" s="1020"/>
      <c r="H42" s="1020"/>
      <c r="I42" s="1020"/>
      <c r="J42" s="1020"/>
      <c r="K42" s="1020"/>
      <c r="L42" s="1020"/>
      <c r="M42" s="1020"/>
      <c r="N42" s="1020"/>
      <c r="O42" s="1020"/>
      <c r="P42" s="1020"/>
      <c r="Q42" s="1020"/>
    </row>
    <row r="43" spans="2:17">
      <c r="B43" s="1020"/>
      <c r="C43" s="1020"/>
      <c r="D43" s="1020"/>
      <c r="E43" s="1020"/>
      <c r="F43" s="1020"/>
      <c r="G43" s="1020"/>
      <c r="H43" s="1020"/>
      <c r="I43" s="1020"/>
      <c r="J43" s="1020"/>
      <c r="K43" s="1020"/>
      <c r="L43" s="1020"/>
      <c r="M43" s="1020"/>
      <c r="N43" s="1020"/>
      <c r="O43" s="1020"/>
      <c r="P43" s="1020"/>
      <c r="Q43" s="1020"/>
    </row>
    <row r="44" spans="2:17">
      <c r="B44" s="1020"/>
      <c r="C44" s="1020"/>
      <c r="D44" s="1020"/>
      <c r="E44" s="1020"/>
      <c r="F44" s="1020"/>
      <c r="G44" s="1020"/>
      <c r="H44" s="1020"/>
      <c r="I44" s="1020"/>
      <c r="J44" s="1020"/>
      <c r="K44" s="1020"/>
      <c r="L44" s="1020"/>
      <c r="M44" s="1020"/>
      <c r="N44" s="1020"/>
      <c r="O44" s="1020"/>
      <c r="P44" s="1020"/>
      <c r="Q44" s="1020"/>
    </row>
  </sheetData>
  <mergeCells count="6">
    <mergeCell ref="B33:Q33"/>
    <mergeCell ref="B10:Q11"/>
    <mergeCell ref="C13:Q13"/>
    <mergeCell ref="C22:Q22"/>
    <mergeCell ref="C20:Q20"/>
    <mergeCell ref="C23:Q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B0C14-E191-476E-A14C-8B39CF3E42AE}">
  <dimension ref="A1:G32"/>
  <sheetViews>
    <sheetView topLeftCell="A15" zoomScale="82" workbookViewId="0">
      <selection activeCell="D17" sqref="D17"/>
    </sheetView>
  </sheetViews>
  <sheetFormatPr baseColWidth="10" defaultColWidth="8.83203125" defaultRowHeight="15"/>
  <cols>
    <col min="1" max="1" width="44.1640625" customWidth="1"/>
    <col min="2" max="2" width="58.83203125" customWidth="1"/>
    <col min="3" max="3" width="51.6640625" customWidth="1"/>
    <col min="5" max="5" width="42.83203125" customWidth="1"/>
    <col min="6" max="6" width="21.6640625" customWidth="1"/>
  </cols>
  <sheetData>
    <row r="1" spans="1:7" s="863" customFormat="1" ht="47.5" customHeight="1">
      <c r="A1" s="872" t="s">
        <v>191</v>
      </c>
      <c r="B1" s="873" t="s">
        <v>190</v>
      </c>
      <c r="C1" s="873" t="s">
        <v>189</v>
      </c>
      <c r="D1" s="873" t="s">
        <v>188</v>
      </c>
      <c r="E1" s="873" t="s">
        <v>187</v>
      </c>
      <c r="F1" s="874" t="s">
        <v>186</v>
      </c>
    </row>
    <row r="2" spans="1:7" s="863" customFormat="1" ht="16.5" customHeight="1">
      <c r="A2" s="864" t="s">
        <v>185</v>
      </c>
      <c r="B2" s="865"/>
      <c r="C2" s="866"/>
      <c r="D2" s="866"/>
      <c r="E2" s="866"/>
      <c r="F2" s="866"/>
    </row>
    <row r="3" spans="1:7" s="867" customFormat="1" ht="75.5" customHeight="1">
      <c r="A3" s="901" t="s">
        <v>1096</v>
      </c>
      <c r="B3" s="901" t="s">
        <v>723</v>
      </c>
      <c r="C3" s="901" t="s">
        <v>1090</v>
      </c>
      <c r="D3" s="902" t="s">
        <v>1166</v>
      </c>
      <c r="E3" s="902"/>
      <c r="F3" s="902"/>
    </row>
    <row r="4" spans="1:7" s="867" customFormat="1" ht="61.5" customHeight="1">
      <c r="A4" s="902" t="s">
        <v>1097</v>
      </c>
      <c r="B4" s="901" t="s">
        <v>1160</v>
      </c>
      <c r="C4" s="901" t="s">
        <v>1098</v>
      </c>
      <c r="D4" s="902" t="s">
        <v>1166</v>
      </c>
      <c r="E4" s="902"/>
      <c r="F4" s="902"/>
    </row>
    <row r="5" spans="1:7" s="867" customFormat="1" ht="61.5" customHeight="1">
      <c r="A5" s="902" t="s">
        <v>1153</v>
      </c>
      <c r="B5" s="901" t="s">
        <v>1158</v>
      </c>
      <c r="C5" s="901" t="s">
        <v>1159</v>
      </c>
      <c r="D5" s="902" t="s">
        <v>1166</v>
      </c>
      <c r="E5" s="902"/>
      <c r="F5" s="902"/>
    </row>
    <row r="6" spans="1:7" s="867" customFormat="1" ht="63.5" customHeight="1">
      <c r="A6" s="867" t="s">
        <v>1088</v>
      </c>
      <c r="B6" s="868" t="s">
        <v>1089</v>
      </c>
      <c r="C6" s="869" t="s">
        <v>183</v>
      </c>
      <c r="D6" s="902" t="s">
        <v>1166</v>
      </c>
      <c r="E6" s="1081" t="s">
        <v>1167</v>
      </c>
      <c r="F6" s="867" t="s">
        <v>1168</v>
      </c>
      <c r="G6" s="1041" t="s">
        <v>1169</v>
      </c>
    </row>
    <row r="7" spans="1:7" s="867" customFormat="1" ht="61.5" customHeight="1">
      <c r="A7" s="867" t="s">
        <v>182</v>
      </c>
      <c r="B7" s="868" t="s">
        <v>722</v>
      </c>
      <c r="C7" s="868" t="s">
        <v>1091</v>
      </c>
      <c r="D7" s="902" t="s">
        <v>1166</v>
      </c>
    </row>
    <row r="8" spans="1:7" s="867" customFormat="1" ht="54" customHeight="1">
      <c r="A8" s="867" t="s">
        <v>1024</v>
      </c>
      <c r="B8" s="868" t="s">
        <v>1025</v>
      </c>
      <c r="C8" s="867" t="s">
        <v>1026</v>
      </c>
    </row>
    <row r="9" spans="1:7" s="867" customFormat="1" ht="43" customHeight="1">
      <c r="A9" s="864" t="s">
        <v>1075</v>
      </c>
      <c r="B9" s="870"/>
      <c r="C9" s="871"/>
      <c r="D9" s="871"/>
      <c r="E9" s="866" t="s">
        <v>1027</v>
      </c>
      <c r="F9" s="871"/>
    </row>
    <row r="10" spans="1:7" s="827" customFormat="1" ht="77.5" customHeight="1">
      <c r="A10" s="630" t="s">
        <v>390</v>
      </c>
      <c r="B10" s="26" t="str">
        <f>'Provider Relief'!B2</f>
        <v>Methodology: 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($186.5 billion, see here: https://taggs.hhs.gov/Coronavirus/Providers). We then project the three pieces using their historical share of the total. The pieces of the ARP's Provider Relief Fund come from our ARP Score.</v>
      </c>
      <c r="D10" s="827" t="s">
        <v>1166</v>
      </c>
    </row>
    <row r="11" spans="1:7" s="827" customFormat="1" ht="111" customHeight="1">
      <c r="A11" s="630" t="s">
        <v>481</v>
      </c>
      <c r="B11" s="26" t="str">
        <f>PPP!H2</f>
        <v xml:space="preserve">Methodology: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v>
      </c>
      <c r="D11" s="827" t="s">
        <v>1166</v>
      </c>
    </row>
    <row r="12" spans="1:7" s="827" customFormat="1" ht="109.5" customHeight="1">
      <c r="A12" s="630" t="s">
        <v>101</v>
      </c>
      <c r="B12" s="26" t="str">
        <f>Grants!B2</f>
        <v>Methodology:  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v>
      </c>
    </row>
    <row r="13" spans="1:7" s="827" customFormat="1" ht="105" customHeight="1">
      <c r="A13" s="630" t="s">
        <v>718</v>
      </c>
      <c r="B13" s="26" t="str">
        <f>'Federal and State Purchases'!B2</f>
        <v xml:space="preserve">Methodology: 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v>
      </c>
    </row>
    <row r="14" spans="1:7" s="827" customFormat="1" ht="64.5" customHeight="1">
      <c r="A14" s="630"/>
      <c r="B14" s="26" t="str">
        <f>'Federal and State Purchases'!B18</f>
        <v>Methodology: 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v>
      </c>
    </row>
    <row r="15" spans="1:7" s="827" customFormat="1" ht="108" customHeight="1">
      <c r="A15" s="630" t="s">
        <v>132</v>
      </c>
      <c r="B15" s="26" t="str">
        <f>Subsidies!B2</f>
        <v>Methodology: To forecast subsidies, we split them up into legislative and non-legislative subsidies. Non-legislative subsidies are forecasted to be equal to the total subsidies from the 4 quarters before COVID-19 (2019Q2:2020Q1). Legislative subsidies are made up of several components. First, PPP is forecasted based on disbursements in the PPP sheet. The Employee Retention Tax Credit and Grants to air carriers are taken from the CRFB score of the December legislation. The forecast for the Provider Relief fund comes from the Provider Relief sheet. Other Aid to Small Business is from the sum of the CRFB scores for Economic Injury Disaster Loan Advances, Emergency Grants to Venues, Other Small Business Relief and Program Expenses, and ARP Subsidies ex Provider Relief and PPP (from our ARP score). Finally we split the total subsidies into ARP and non-ARP for the code.</v>
      </c>
    </row>
    <row r="16" spans="1:7" s="827" customFormat="1" ht="107" customHeight="1">
      <c r="A16" s="630" t="s">
        <v>596</v>
      </c>
      <c r="B16" s="26" t="str">
        <f>'Unemployment Insurance'!B2</f>
        <v>Methodology: 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 We forecast normal federal UI and state UI using the growth in the unemployment rate and federal UI legislation with a few judgemental changes (see below).
We get our unemployment rate projection from the CBO Economic Projections.</v>
      </c>
      <c r="D16" s="827" t="s">
        <v>1166</v>
      </c>
    </row>
    <row r="17" spans="1:6" s="827" customFormat="1" ht="129" customHeight="1">
      <c r="A17" s="630" t="s">
        <v>141</v>
      </c>
      <c r="B17" s="26" t="str">
        <f>Medicaid!B2</f>
        <v>Methodology: 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ARP)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v>
      </c>
      <c r="D17" s="827" t="s">
        <v>1166</v>
      </c>
    </row>
    <row r="18" spans="1:6" s="827" customFormat="1" ht="78" customHeight="1">
      <c r="A18" s="630" t="s">
        <v>385</v>
      </c>
      <c r="B18" s="26" t="str">
        <f>Medicare!B2</f>
        <v xml:space="preserve">Methodology: 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2021, so we subtract $16 billion in 2022 onwards to reflect that higher level now because of lack of sequestration.  																							
																							</v>
      </c>
    </row>
    <row r="19" spans="1:6" s="827" customFormat="1" ht="43" customHeight="1">
      <c r="A19" s="630" t="s">
        <v>131</v>
      </c>
      <c r="B19" s="26" t="str">
        <f>'Rebate Checks'!B2</f>
        <v>Methodology: 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v>
      </c>
    </row>
    <row r="20" spans="1:6" s="827" customFormat="1" ht="145" customHeight="1">
      <c r="A20" s="630" t="s">
        <v>594</v>
      </c>
      <c r="B20" s="26" t="str">
        <f>'Social Benefits'!B2</f>
        <v>Methodology: Our forecast of Federal Social Benefits is Federal Social Benefits less UI, Medicare, Rebate Checks and Other Legislation (Row 21) plus SNAP due to Covid (Row 16). SNAP due to COVID is calculated in Table 4. For history, Federal Social Benefits minus UI, Medicare and rebate checks, and other legislation (Row 21) is defined based on the sum of UI, Medicare, Rebate checks, SNAP, PPP to NPISH, Provider Relief to NPISH, Total Other ARP, and Total Other non-ARP legislation (calculated in Table 3). For the forecast, Q2 through Q4 is defined as the value from Q1 plus the change in level from Q1 through Q4 of the previous year (divided by 3 to get the quarterly growth rate). Q1 forecasts are made based on the previous year's Q1 level, grown by the CBO annual growth rate. This is done because we think that social benefits follow a pattern of growing in Q1 and staying relatively flat over the rest of the year.  We use pre-pandemic growth (bc we don't want to account for legislation) for all but social security, which wasn't affected by the pandemic. State social benefits are taken from BEA and split into the sum of total medicaid (from medicaid sheet) and state social benefits ex medicaid. The forecast for Medicaid comes from the Medicaid sheet and the forecast for state social benefits ex medicaid is based on the average growth rate from the last 4 quarters before COVID-19 (2019Q2:2020Q1).</v>
      </c>
    </row>
    <row r="21" spans="1:6" s="827" customFormat="1" ht="60.5" customHeight="1">
      <c r="A21" s="630" t="s">
        <v>582</v>
      </c>
      <c r="B21" s="26" t="str">
        <f>Taxes!D2</f>
        <v xml:space="preserve">Methodology: Federal taxes are grown by the growth rates of CBO's quarterly projections of the tax base (see Table 3). State taxes are grown by the CBO projected tax base times our projection of the BEA's state tax rates (see Table 2). The other tables are here for reference/Louise's judgemental calculations. </v>
      </c>
    </row>
    <row r="22" spans="1:6" s="827" customFormat="1" ht="37.5" customHeight="1">
      <c r="A22" s="798" t="s">
        <v>717</v>
      </c>
      <c r="B22" s="26" t="s">
        <v>1046</v>
      </c>
    </row>
    <row r="23" spans="1:6" s="827" customFormat="1" ht="36" customHeight="1">
      <c r="A23" s="798" t="s">
        <v>179</v>
      </c>
      <c r="B23" s="26"/>
    </row>
    <row r="24" spans="1:6" s="827" customFormat="1" ht="16">
      <c r="A24" s="29" t="s">
        <v>177</v>
      </c>
      <c r="B24" s="28"/>
      <c r="C24" s="27"/>
      <c r="D24" s="27"/>
      <c r="E24" s="27"/>
      <c r="F24" s="27"/>
    </row>
    <row r="25" spans="1:6" s="827" customFormat="1" ht="102" customHeight="1">
      <c r="A25" s="827" t="s">
        <v>1080</v>
      </c>
      <c r="B25" s="26" t="s">
        <v>1081</v>
      </c>
      <c r="C25" s="827" t="s">
        <v>1082</v>
      </c>
    </row>
    <row r="26" spans="1:6" s="827" customFormat="1" ht="54" customHeight="1">
      <c r="A26" s="827" t="s">
        <v>1083</v>
      </c>
      <c r="B26" s="26" t="s">
        <v>1084</v>
      </c>
      <c r="C26" s="827" t="s">
        <v>1085</v>
      </c>
    </row>
    <row r="27" spans="1:6" s="827" customFormat="1">
      <c r="B27" s="26"/>
    </row>
    <row r="28" spans="1:6" s="827" customFormat="1" ht="16">
      <c r="A28" s="29" t="s">
        <v>176</v>
      </c>
      <c r="B28" s="28"/>
      <c r="C28" s="27"/>
      <c r="D28" s="27"/>
      <c r="E28" s="27"/>
      <c r="F28" s="27"/>
    </row>
    <row r="29" spans="1:6" s="827" customFormat="1" ht="32">
      <c r="A29" s="827" t="s">
        <v>175</v>
      </c>
      <c r="B29" s="26"/>
      <c r="C29" s="827" t="s">
        <v>1051</v>
      </c>
    </row>
    <row r="30" spans="1:6" s="827" customFormat="1" ht="64">
      <c r="A30" s="827" t="s">
        <v>174</v>
      </c>
      <c r="B30" s="26" t="s">
        <v>1047</v>
      </c>
      <c r="C30" s="827" t="s">
        <v>1048</v>
      </c>
    </row>
    <row r="31" spans="1:6" s="827" customFormat="1" ht="32">
      <c r="A31" s="827" t="s">
        <v>173</v>
      </c>
      <c r="B31" s="26" t="s">
        <v>1052</v>
      </c>
      <c r="C31" s="26" t="s">
        <v>1050</v>
      </c>
    </row>
    <row r="32" spans="1:6" s="827" customFormat="1" ht="96">
      <c r="A32" s="827" t="s">
        <v>172</v>
      </c>
      <c r="B32" s="26" t="s">
        <v>1086</v>
      </c>
      <c r="C32" s="827" t="s">
        <v>1087</v>
      </c>
    </row>
  </sheetData>
  <conditionalFormatting sqref="D25:D26">
    <cfRule type="containsText" dxfId="15" priority="1" operator="containsText" text="Yes">
      <formula>NOT(ISERROR(SEARCH("Yes",D25)))</formula>
    </cfRule>
  </conditionalFormatting>
  <conditionalFormatting sqref="D3:D9">
    <cfRule type="containsText" dxfId="14" priority="4" operator="containsText" text="Yes">
      <formula>NOT(ISERROR(SEARCH("Yes",D3)))</formula>
    </cfRule>
  </conditionalFormatting>
  <conditionalFormatting sqref="D10:D24">
    <cfRule type="containsText" dxfId="13" priority="3" operator="containsText" text="Yes">
      <formula>NOT(ISERROR(SEARCH("Yes",D10)))</formula>
    </cfRule>
  </conditionalFormatting>
  <conditionalFormatting sqref="D27:D32">
    <cfRule type="containsText" dxfId="12" priority="2" operator="containsText" text="Yes">
      <formula>NOT(ISERROR(SEARCH("Yes",D27)))</formula>
    </cfRule>
  </conditionalFormatting>
  <hyperlinks>
    <hyperlink ref="C6" r:id="rId1" xr:uid="{1DF722C4-93F9-404D-A6DF-023B4F639B2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EE8D5-3555-4C6B-BEE2-749BFA1D179C}">
  <dimension ref="A1:F32"/>
  <sheetViews>
    <sheetView zoomScale="65" zoomScaleNormal="55" workbookViewId="0">
      <pane ySplit="1" topLeftCell="A4" activePane="bottomLeft" state="frozen"/>
      <selection pane="bottomLeft" activeCell="D6" sqref="D6"/>
    </sheetView>
  </sheetViews>
  <sheetFormatPr baseColWidth="10" defaultColWidth="8.6640625" defaultRowHeight="15"/>
  <cols>
    <col min="1" max="1" width="27" style="613" customWidth="1"/>
    <col min="2" max="2" width="109.33203125" style="26" customWidth="1"/>
    <col min="3" max="3" width="47" style="613" customWidth="1"/>
    <col min="4" max="4" width="18.83203125" style="613" customWidth="1"/>
    <col min="5" max="5" width="58.83203125" style="613" customWidth="1"/>
    <col min="6" max="6" width="33.1640625" style="613" customWidth="1"/>
    <col min="7" max="16384" width="8.6640625" style="613"/>
  </cols>
  <sheetData>
    <row r="1" spans="1:6" s="31" customFormat="1" ht="47.5" customHeight="1">
      <c r="A1" s="34" t="s">
        <v>191</v>
      </c>
      <c r="B1" s="34" t="s">
        <v>190</v>
      </c>
      <c r="C1" s="34" t="s">
        <v>189</v>
      </c>
      <c r="D1" s="34" t="s">
        <v>188</v>
      </c>
      <c r="E1" s="34" t="s">
        <v>187</v>
      </c>
      <c r="F1" s="34" t="s">
        <v>186</v>
      </c>
    </row>
    <row r="2" spans="1:6" s="31" customFormat="1" ht="16.5" customHeight="1">
      <c r="A2" s="29" t="s">
        <v>185</v>
      </c>
      <c r="B2" s="33"/>
      <c r="C2" s="32"/>
      <c r="D2" s="32"/>
      <c r="E2" s="32"/>
      <c r="F2" s="32"/>
    </row>
    <row r="3" spans="1:6" s="827" customFormat="1" ht="80" customHeight="1">
      <c r="A3" s="26" t="s">
        <v>1154</v>
      </c>
      <c r="B3" s="26" t="s">
        <v>723</v>
      </c>
      <c r="C3" s="26" t="s">
        <v>1022</v>
      </c>
      <c r="D3" s="827" t="s">
        <v>1166</v>
      </c>
    </row>
    <row r="4" spans="1:6" s="900" customFormat="1" ht="80" customHeight="1">
      <c r="A4" s="26" t="s">
        <v>1153</v>
      </c>
      <c r="B4" s="901" t="s">
        <v>1158</v>
      </c>
      <c r="C4" s="901" t="s">
        <v>1159</v>
      </c>
      <c r="D4" s="900" t="s">
        <v>1166</v>
      </c>
    </row>
    <row r="5" spans="1:6" s="827" customFormat="1" ht="63.5" customHeight="1">
      <c r="A5" s="827" t="s">
        <v>1079</v>
      </c>
      <c r="B5" s="26" t="s">
        <v>184</v>
      </c>
      <c r="C5" s="30" t="s">
        <v>183</v>
      </c>
      <c r="E5" s="827" t="s">
        <v>1023</v>
      </c>
    </row>
    <row r="6" spans="1:6" s="827" customFormat="1" ht="61.5" customHeight="1">
      <c r="A6" s="827" t="s">
        <v>182</v>
      </c>
      <c r="B6" s="26" t="s">
        <v>722</v>
      </c>
      <c r="C6" s="26" t="s">
        <v>1021</v>
      </c>
    </row>
    <row r="7" spans="1:6" s="827" customFormat="1" ht="61.5" customHeight="1">
      <c r="A7" s="827" t="s">
        <v>721</v>
      </c>
      <c r="B7" s="26" t="s">
        <v>720</v>
      </c>
      <c r="C7" s="26" t="s">
        <v>719</v>
      </c>
    </row>
    <row r="8" spans="1:6" s="827" customFormat="1" ht="54" customHeight="1">
      <c r="A8" s="827" t="s">
        <v>1024</v>
      </c>
      <c r="B8" s="26" t="s">
        <v>1025</v>
      </c>
      <c r="C8" s="827" t="s">
        <v>1026</v>
      </c>
    </row>
    <row r="9" spans="1:6" s="827" customFormat="1" ht="31" customHeight="1">
      <c r="A9" s="29" t="s">
        <v>1075</v>
      </c>
      <c r="B9" s="826"/>
      <c r="C9" s="27"/>
      <c r="D9" s="27"/>
      <c r="E9" s="32" t="s">
        <v>1027</v>
      </c>
      <c r="F9" s="27"/>
    </row>
    <row r="10" spans="1:6" ht="77.5" customHeight="1">
      <c r="A10" s="630" t="s">
        <v>390</v>
      </c>
      <c r="B10" s="26" t="str">
        <f>'Provider Relief'!B2</f>
        <v>Methodology: 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($186.5 billion, see here: https://taggs.hhs.gov/Coronavirus/Providers). We then project the three pieces using their historical share of the total. The pieces of the ARP's Provider Relief Fund come from our ARP Score.</v>
      </c>
    </row>
    <row r="11" spans="1:6" ht="111" customHeight="1">
      <c r="A11" s="630" t="s">
        <v>481</v>
      </c>
      <c r="B11" s="26" t="str">
        <f>PPP!H2</f>
        <v xml:space="preserve">Methodology: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v>
      </c>
    </row>
    <row r="12" spans="1:6" ht="109.5" customHeight="1">
      <c r="A12" s="630" t="s">
        <v>101</v>
      </c>
      <c r="B12" s="26" t="str">
        <f>Grants!B2</f>
        <v>Methodology:  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v>
      </c>
    </row>
    <row r="13" spans="1:6" ht="105" customHeight="1">
      <c r="A13" s="630" t="s">
        <v>718</v>
      </c>
      <c r="B13" s="26" t="str">
        <f>'Federal and State Purchases'!B2</f>
        <v xml:space="preserve">Methodology: 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v>
      </c>
    </row>
    <row r="14" spans="1:6" s="653" customFormat="1" ht="64.5" customHeight="1">
      <c r="A14" s="630"/>
      <c r="B14" s="26" t="str">
        <f>'Federal and State Purchases'!B18</f>
        <v>Methodology: 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v>
      </c>
    </row>
    <row r="15" spans="1:6" ht="108" customHeight="1">
      <c r="A15" s="630" t="s">
        <v>132</v>
      </c>
      <c r="B15" s="26" t="str">
        <f>Subsidies!B2</f>
        <v>Methodology: To forecast subsidies, we split them up into legislative and non-legislative subsidies. Non-legislative subsidies are forecasted to be equal to the total subsidies from the 4 quarters before COVID-19 (2019Q2:2020Q1). Legislative subsidies are made up of several components. First, PPP is forecasted based on disbursements in the PPP sheet. The Employee Retention Tax Credit and Grants to air carriers are taken from the CRFB score of the December legislation. The forecast for the Provider Relief fund comes from the Provider Relief sheet. Other Aid to Small Business is from the sum of the CRFB scores for Economic Injury Disaster Loan Advances, Emergency Grants to Venues, Other Small Business Relief and Program Expenses, and ARP Subsidies ex Provider Relief and PPP (from our ARP score). Finally we split the total subsidies into ARP and non-ARP for the code.</v>
      </c>
    </row>
    <row r="16" spans="1:6" ht="107" customHeight="1">
      <c r="A16" s="630" t="s">
        <v>596</v>
      </c>
      <c r="B16" s="26" t="str">
        <f>'Unemployment Insurance'!B2</f>
        <v>Methodology: 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 We forecast normal federal UI and state UI using the growth in the unemployment rate and federal UI legislation with a few judgemental changes (see below).
We get our unemployment rate projection from the CBO Economic Projections.</v>
      </c>
    </row>
    <row r="17" spans="1:6" ht="129" customHeight="1">
      <c r="A17" s="630" t="s">
        <v>141</v>
      </c>
      <c r="B17" s="26" t="str">
        <f>Medicaid!B2</f>
        <v>Methodology: 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ARP)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v>
      </c>
    </row>
    <row r="18" spans="1:6" ht="78" customHeight="1">
      <c r="A18" s="630" t="s">
        <v>385</v>
      </c>
      <c r="B18" s="26" t="str">
        <f>Medicare!B2</f>
        <v xml:space="preserve">Methodology: 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2021, so we subtract $16 billion in 2022 onwards to reflect that higher level now because of lack of sequestration.  																							
																							</v>
      </c>
    </row>
    <row r="19" spans="1:6" ht="43" customHeight="1">
      <c r="A19" s="630" t="s">
        <v>131</v>
      </c>
      <c r="B19" s="26" t="str">
        <f>'Rebate Checks'!B2</f>
        <v>Methodology: 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v>
      </c>
    </row>
    <row r="20" spans="1:6" ht="145" customHeight="1">
      <c r="A20" s="630" t="s">
        <v>594</v>
      </c>
      <c r="B20" s="26" t="str">
        <f>'Social Benefits'!B2</f>
        <v>Methodology: Our forecast of Federal Social Benefits is Federal Social Benefits less UI, Medicare, Rebate Checks and Other Legislation (Row 21) plus SNAP due to Covid (Row 16). SNAP due to COVID is calculated in Table 4. For history, Federal Social Benefits minus UI, Medicare and rebate checks, and other legislation (Row 21) is defined based on the sum of UI, Medicare, Rebate checks, SNAP, PPP to NPISH, Provider Relief to NPISH, Total Other ARP, and Total Other non-ARP legislation (calculated in Table 3). For the forecast, Q2 through Q4 is defined as the value from Q1 plus the change in level from Q1 through Q4 of the previous year (divided by 3 to get the quarterly growth rate). Q1 forecasts are made based on the previous year's Q1 level, grown by the CBO annual growth rate. This is done because we think that social benefits follow a pattern of growing in Q1 and staying relatively flat over the rest of the year.  We use pre-pandemic growth (bc we don't want to account for legislation) for all but social security, which wasn't affected by the pandemic. State social benefits are taken from BEA and split into the sum of total medicaid (from medicaid sheet) and state social benefits ex medicaid. The forecast for Medicaid comes from the Medicaid sheet and the forecast for state social benefits ex medicaid is based on the average growth rate from the last 4 quarters before COVID-19 (2019Q2:2020Q1).</v>
      </c>
    </row>
    <row r="21" spans="1:6" ht="60.5" customHeight="1">
      <c r="A21" s="630" t="s">
        <v>582</v>
      </c>
      <c r="B21" s="26" t="str">
        <f>Taxes!D2</f>
        <v xml:space="preserve">Methodology: Federal taxes are grown by the growth rates of CBO's quarterly projections of the tax base (see Table 3). State taxes are grown by the CBO projected tax base times our projection of the BEA's state tax rates (see Table 2). The other tables are here for reference/Louise's judgemental calculations. </v>
      </c>
    </row>
    <row r="22" spans="1:6" ht="37.5" customHeight="1">
      <c r="A22" s="798" t="s">
        <v>717</v>
      </c>
      <c r="B22" s="26" t="s">
        <v>1046</v>
      </c>
    </row>
    <row r="23" spans="1:6" ht="36" customHeight="1">
      <c r="A23" s="798" t="s">
        <v>179</v>
      </c>
    </row>
    <row r="24" spans="1:6" ht="16">
      <c r="A24" s="29" t="s">
        <v>177</v>
      </c>
      <c r="B24" s="28"/>
      <c r="C24" s="27"/>
      <c r="D24" s="27"/>
      <c r="E24" s="27"/>
      <c r="F24" s="27"/>
    </row>
    <row r="25" spans="1:6" ht="304">
      <c r="A25" s="827" t="s">
        <v>1080</v>
      </c>
      <c r="B25" s="26" t="s">
        <v>1081</v>
      </c>
      <c r="C25" s="827" t="s">
        <v>1082</v>
      </c>
    </row>
    <row r="26" spans="1:6" ht="48">
      <c r="A26" s="827" t="s">
        <v>1083</v>
      </c>
      <c r="B26" s="26" t="s">
        <v>1084</v>
      </c>
      <c r="C26" s="827" t="s">
        <v>1085</v>
      </c>
    </row>
    <row r="27" spans="1:6">
      <c r="A27" s="827"/>
      <c r="C27" s="827"/>
      <c r="D27" s="27"/>
      <c r="E27" s="27"/>
      <c r="F27" s="27"/>
    </row>
    <row r="28" spans="1:6" ht="16">
      <c r="A28" s="29" t="s">
        <v>176</v>
      </c>
      <c r="B28" s="28"/>
      <c r="C28" s="27"/>
    </row>
    <row r="29" spans="1:6" ht="32">
      <c r="A29" s="827" t="s">
        <v>175</v>
      </c>
      <c r="B29" s="26" t="s">
        <v>1049</v>
      </c>
      <c r="C29" s="827" t="s">
        <v>1051</v>
      </c>
    </row>
    <row r="30" spans="1:6" ht="80">
      <c r="A30" s="827" t="s">
        <v>174</v>
      </c>
      <c r="B30" s="26" t="s">
        <v>1047</v>
      </c>
      <c r="C30" s="827" t="s">
        <v>1048</v>
      </c>
    </row>
    <row r="31" spans="1:6" ht="32">
      <c r="A31" s="827" t="s">
        <v>173</v>
      </c>
      <c r="B31" s="26" t="s">
        <v>1052</v>
      </c>
      <c r="C31" s="26" t="s">
        <v>1050</v>
      </c>
    </row>
    <row r="32" spans="1:6" ht="96">
      <c r="A32" s="827" t="s">
        <v>172</v>
      </c>
      <c r="B32" s="26" t="s">
        <v>1086</v>
      </c>
      <c r="C32" s="827" t="s">
        <v>1087</v>
      </c>
    </row>
  </sheetData>
  <conditionalFormatting sqref="D10:D144">
    <cfRule type="containsText" dxfId="11" priority="2" operator="containsText" text="Yes">
      <formula>NOT(ISERROR(SEARCH("Yes",D10)))</formula>
    </cfRule>
  </conditionalFormatting>
  <conditionalFormatting sqref="D3:D9">
    <cfRule type="containsText" dxfId="10" priority="1" operator="containsText" text="Yes">
      <formula>NOT(ISERROR(SEARCH("Yes",D3)))</formula>
    </cfRule>
  </conditionalFormatting>
  <hyperlinks>
    <hyperlink ref="C5" r:id="rId1" xr:uid="{AB939368-398C-4B44-850F-E3799220C33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5B177-4CC1-440D-927C-EF8E9D2ECAC9}">
  <dimension ref="A1:E10"/>
  <sheetViews>
    <sheetView zoomScale="58" workbookViewId="0">
      <selection activeCell="A5" sqref="A5"/>
    </sheetView>
  </sheetViews>
  <sheetFormatPr baseColWidth="10" defaultColWidth="8.6640625" defaultRowHeight="15"/>
  <cols>
    <col min="1" max="1" width="23.83203125" style="25" customWidth="1"/>
    <col min="2" max="2" width="79.33203125" style="25" customWidth="1"/>
    <col min="3" max="3" width="33.6640625" style="25" customWidth="1"/>
    <col min="4" max="4" width="8.6640625" style="25"/>
    <col min="5" max="5" width="14.83203125" style="25" customWidth="1"/>
    <col min="6" max="16384" width="8.6640625" style="25"/>
  </cols>
  <sheetData>
    <row r="1" spans="1:5" s="31" customFormat="1" ht="47.5" customHeight="1">
      <c r="A1" s="34" t="s">
        <v>192</v>
      </c>
      <c r="B1" s="34" t="s">
        <v>190</v>
      </c>
      <c r="C1" s="34" t="s">
        <v>189</v>
      </c>
      <c r="D1" s="34" t="s">
        <v>188</v>
      </c>
      <c r="E1" s="34" t="s">
        <v>187</v>
      </c>
    </row>
    <row r="2" spans="1:5" ht="79.5" customHeight="1">
      <c r="A2" s="819" t="s">
        <v>1074</v>
      </c>
      <c r="B2" s="862" t="s">
        <v>1138</v>
      </c>
      <c r="C2" s="862" t="s">
        <v>1139</v>
      </c>
    </row>
    <row r="3" spans="1:5" ht="63.5" customHeight="1">
      <c r="A3" s="819" t="s">
        <v>1140</v>
      </c>
      <c r="B3" s="862" t="s">
        <v>1142</v>
      </c>
      <c r="C3" s="862" t="s">
        <v>1141</v>
      </c>
    </row>
    <row r="4" spans="1:5" s="560" customFormat="1" ht="63.5" customHeight="1">
      <c r="A4" s="900" t="s">
        <v>1155</v>
      </c>
      <c r="B4" s="901" t="s">
        <v>1158</v>
      </c>
      <c r="C4" s="901" t="s">
        <v>1159</v>
      </c>
    </row>
    <row r="5" spans="1:5" ht="137" customHeight="1">
      <c r="A5" s="25" t="s">
        <v>1076</v>
      </c>
      <c r="B5" s="26" t="s">
        <v>1143</v>
      </c>
    </row>
    <row r="6" spans="1:5" ht="29" customHeight="1">
      <c r="A6" s="25" t="s">
        <v>1144</v>
      </c>
      <c r="B6" s="1042" t="s">
        <v>1146</v>
      </c>
      <c r="C6" s="25" t="s">
        <v>1148</v>
      </c>
    </row>
    <row r="7" spans="1:5" ht="48">
      <c r="A7" s="862" t="s">
        <v>1145</v>
      </c>
      <c r="B7" s="1042" t="s">
        <v>1147</v>
      </c>
      <c r="C7" s="25" t="s">
        <v>1149</v>
      </c>
    </row>
    <row r="8" spans="1:5">
      <c r="B8"/>
    </row>
    <row r="9" spans="1:5">
      <c r="B9" s="1041"/>
    </row>
    <row r="10" spans="1:5">
      <c r="B10" s="104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BD7A-C4F3-4F2A-AD85-F21D2CCDA7F6}">
  <dimension ref="A1:K81"/>
  <sheetViews>
    <sheetView topLeftCell="B32" zoomScale="109" workbookViewId="0">
      <selection activeCell="F8" sqref="F8"/>
    </sheetView>
  </sheetViews>
  <sheetFormatPr baseColWidth="10" defaultColWidth="8.6640625" defaultRowHeight="15"/>
  <cols>
    <col min="1" max="1" width="15.1640625" style="800" customWidth="1"/>
    <col min="2" max="2" width="28.33203125" style="800" customWidth="1"/>
    <col min="3" max="3" width="25.1640625" style="800" customWidth="1"/>
    <col min="4" max="4" width="11.1640625" style="800" customWidth="1"/>
    <col min="5" max="5" width="15.1640625" style="800" customWidth="1"/>
    <col min="6" max="6" width="12.5" style="800" customWidth="1"/>
    <col min="7" max="7" width="11.83203125" style="800" bestFit="1" customWidth="1"/>
    <col min="8" max="16384" width="8.6640625" style="800"/>
  </cols>
  <sheetData>
    <row r="1" spans="1:11" s="808" customFormat="1">
      <c r="A1" s="808" t="s">
        <v>576</v>
      </c>
      <c r="B1" s="808" t="s">
        <v>577</v>
      </c>
      <c r="C1" s="808" t="s">
        <v>578</v>
      </c>
      <c r="D1" s="808" t="s">
        <v>579</v>
      </c>
      <c r="E1" s="808" t="s">
        <v>580</v>
      </c>
      <c r="F1" s="808" t="s">
        <v>581</v>
      </c>
    </row>
    <row r="2" spans="1:11">
      <c r="C2" s="800" t="str">
        <f>'Haver Pivoted'!A1</f>
        <v>name</v>
      </c>
      <c r="D2" s="809" t="s">
        <v>1095</v>
      </c>
      <c r="E2" s="809" t="s">
        <v>1095</v>
      </c>
      <c r="F2" s="809"/>
      <c r="H2" s="810"/>
    </row>
    <row r="3" spans="1:11">
      <c r="B3" s="800" t="s">
        <v>1054</v>
      </c>
      <c r="C3" s="800" t="str">
        <f>'Haver Pivoted'!A2</f>
        <v>gdp</v>
      </c>
      <c r="D3" s="800">
        <v>22722.6</v>
      </c>
      <c r="E3" s="800">
        <f>'Haver Pivoted'!GY2</f>
        <v>22731.4</v>
      </c>
      <c r="F3" s="800">
        <f>E3-D3</f>
        <v>8.8000000000029104</v>
      </c>
      <c r="G3" s="811">
        <f>F3/D3</f>
        <v>3.8727962469096457E-4</v>
      </c>
      <c r="H3" s="812"/>
    </row>
    <row r="4" spans="1:11">
      <c r="B4" s="800" t="s">
        <v>1055</v>
      </c>
      <c r="C4" s="800" t="str">
        <f>'Haver Pivoted'!A3</f>
        <v>gdph</v>
      </c>
      <c r="D4" s="800">
        <v>19358.2</v>
      </c>
      <c r="E4" s="800">
        <f>'Haver Pivoted'!GY3</f>
        <v>19360.599999999999</v>
      </c>
      <c r="F4" s="800">
        <f t="shared" ref="F4:F67" si="0">E4-D4</f>
        <v>2.3999999999978172</v>
      </c>
      <c r="G4" s="811">
        <f t="shared" ref="G4:G67" si="1">F4/D4</f>
        <v>1.2397846907242498E-4</v>
      </c>
      <c r="H4" s="812"/>
    </row>
    <row r="5" spans="1:11">
      <c r="B5" s="800" t="s">
        <v>458</v>
      </c>
      <c r="C5" s="800" t="str">
        <f>'Haver Pivoted'!A4</f>
        <v>jgdp</v>
      </c>
      <c r="D5" s="800">
        <v>117.51900000000001</v>
      </c>
      <c r="E5" s="800">
        <f>'Haver Pivoted'!GY4</f>
        <v>117.547</v>
      </c>
      <c r="F5" s="800">
        <f t="shared" si="0"/>
        <v>2.7999999999991587E-2</v>
      </c>
      <c r="G5" s="811">
        <f t="shared" si="1"/>
        <v>2.3825934529728458E-4</v>
      </c>
      <c r="H5" s="813"/>
    </row>
    <row r="6" spans="1:11">
      <c r="B6" s="800" t="s">
        <v>1056</v>
      </c>
      <c r="C6" s="800" t="str">
        <f>'Haver Pivoted'!A5</f>
        <v>c</v>
      </c>
      <c r="D6" s="800">
        <v>15672.6</v>
      </c>
      <c r="E6" s="800">
        <f>'Haver Pivoted'!GY5</f>
        <v>15675.9</v>
      </c>
      <c r="F6" s="800">
        <f t="shared" si="0"/>
        <v>3.2999999999992724</v>
      </c>
      <c r="G6" s="811">
        <f t="shared" si="1"/>
        <v>2.1055855441976903E-4</v>
      </c>
    </row>
    <row r="7" spans="1:11">
      <c r="B7" s="800" t="s">
        <v>1057</v>
      </c>
      <c r="C7" s="800" t="str">
        <f>'Haver Pivoted'!A6</f>
        <v>ch</v>
      </c>
      <c r="D7" s="800">
        <v>13659.3</v>
      </c>
      <c r="E7" s="800">
        <f>'Haver Pivoted'!GY6</f>
        <v>13660.2</v>
      </c>
      <c r="F7" s="800">
        <f t="shared" si="0"/>
        <v>0.90000000000145519</v>
      </c>
      <c r="G7" s="811">
        <f t="shared" si="1"/>
        <v>6.58891744087512E-5</v>
      </c>
      <c r="K7" s="813"/>
    </row>
    <row r="8" spans="1:11">
      <c r="B8" s="800" t="s">
        <v>456</v>
      </c>
      <c r="C8" s="800" t="str">
        <f>'Haver Pivoted'!A7</f>
        <v>jc</v>
      </c>
      <c r="D8" s="800">
        <v>114.758</v>
      </c>
      <c r="E8" s="800">
        <f>'Haver Pivoted'!GY7</f>
        <v>114.77500000000001</v>
      </c>
      <c r="F8" s="800">
        <f t="shared" si="0"/>
        <v>1.7000000000010118E-2</v>
      </c>
      <c r="G8" s="811">
        <f t="shared" si="1"/>
        <v>1.4813782045704977E-4</v>
      </c>
    </row>
    <row r="9" spans="1:11">
      <c r="B9" s="800" t="s">
        <v>454</v>
      </c>
      <c r="C9" s="800" t="str">
        <f>'Haver Pivoted'!A8</f>
        <v>jgf</v>
      </c>
      <c r="D9" s="800">
        <v>115.176</v>
      </c>
      <c r="E9" s="800">
        <f>'Haver Pivoted'!GY8</f>
        <v>115.19</v>
      </c>
      <c r="F9" s="800">
        <f t="shared" si="0"/>
        <v>1.3999999999995794E-2</v>
      </c>
      <c r="G9" s="811">
        <f t="shared" si="1"/>
        <v>1.2155310134052054E-4</v>
      </c>
    </row>
    <row r="10" spans="1:11">
      <c r="B10" s="800" t="s">
        <v>452</v>
      </c>
      <c r="C10" s="800" t="str">
        <f>'Haver Pivoted'!A9</f>
        <v>jgs</v>
      </c>
      <c r="D10" s="800">
        <v>121.48</v>
      </c>
      <c r="E10" s="800">
        <f>'Haver Pivoted'!GY9</f>
        <v>121.509</v>
      </c>
      <c r="F10" s="800">
        <f t="shared" si="0"/>
        <v>2.8999999999996362E-2</v>
      </c>
      <c r="G10" s="811">
        <f t="shared" si="1"/>
        <v>2.3872242344415839E-4</v>
      </c>
    </row>
    <row r="11" spans="1:11">
      <c r="B11" s="800" t="s">
        <v>450</v>
      </c>
      <c r="C11" s="800" t="str">
        <f>'Haver Pivoted'!A10</f>
        <v>jgse</v>
      </c>
      <c r="D11" s="800">
        <v>121.38</v>
      </c>
      <c r="E11" s="800">
        <f>'Haver Pivoted'!GY10</f>
        <v>121.39700000000001</v>
      </c>
      <c r="F11" s="800">
        <f t="shared" si="0"/>
        <v>1.7000000000010118E-2</v>
      </c>
      <c r="G11" s="811">
        <f t="shared" si="1"/>
        <v>1.4005602240904695E-4</v>
      </c>
    </row>
    <row r="12" spans="1:11">
      <c r="B12" s="800" t="s">
        <v>448</v>
      </c>
      <c r="C12" s="800" t="str">
        <f>'Haver Pivoted'!A11</f>
        <v>jgsi</v>
      </c>
      <c r="D12" s="800">
        <v>121.95</v>
      </c>
      <c r="E12" s="800">
        <f>'Haver Pivoted'!GY11</f>
        <v>122.035</v>
      </c>
      <c r="F12" s="800">
        <f t="shared" si="0"/>
        <v>8.4999999999993747E-2</v>
      </c>
      <c r="G12" s="811">
        <f t="shared" si="1"/>
        <v>6.9700697006964941E-4</v>
      </c>
    </row>
    <row r="13" spans="1:11">
      <c r="A13" s="800" t="s">
        <v>385</v>
      </c>
      <c r="B13" s="800" t="s">
        <v>385</v>
      </c>
      <c r="C13" s="800" t="str">
        <f>'Haver Pivoted'!A12</f>
        <v>yptmr</v>
      </c>
      <c r="D13" s="800">
        <v>815.3</v>
      </c>
      <c r="E13" s="800">
        <f>'Haver Pivoted'!GY12</f>
        <v>815.3</v>
      </c>
      <c r="F13" s="800">
        <f t="shared" si="0"/>
        <v>0</v>
      </c>
      <c r="G13" s="811">
        <f t="shared" si="1"/>
        <v>0</v>
      </c>
      <c r="I13" s="814"/>
    </row>
    <row r="14" spans="1:11">
      <c r="A14" s="800" t="s">
        <v>141</v>
      </c>
      <c r="B14" s="800" t="s">
        <v>415</v>
      </c>
      <c r="C14" s="800" t="str">
        <f>'Haver Pivoted'!A13</f>
        <v>yptmd</v>
      </c>
      <c r="D14" s="800">
        <v>712.9</v>
      </c>
      <c r="E14" s="800">
        <f>'Haver Pivoted'!GY13</f>
        <v>735.5</v>
      </c>
      <c r="F14" s="800">
        <f t="shared" si="0"/>
        <v>22.600000000000023</v>
      </c>
      <c r="G14" s="811">
        <f t="shared" si="1"/>
        <v>3.1701500911768862E-2</v>
      </c>
      <c r="I14" s="802"/>
    </row>
    <row r="15" spans="1:11">
      <c r="A15" s="800" t="s">
        <v>596</v>
      </c>
      <c r="B15" s="800" t="s">
        <v>262</v>
      </c>
      <c r="C15" s="800" t="str">
        <f>'Haver Pivoted'!A14</f>
        <v>yptu</v>
      </c>
      <c r="D15" s="800">
        <v>482.1</v>
      </c>
      <c r="E15" s="800">
        <f>'Haver Pivoted'!GY14</f>
        <v>480.5</v>
      </c>
      <c r="F15" s="800">
        <f t="shared" si="0"/>
        <v>-1.6000000000000227</v>
      </c>
      <c r="G15" s="811">
        <f t="shared" si="1"/>
        <v>-3.3188135241651578E-3</v>
      </c>
    </row>
    <row r="16" spans="1:11">
      <c r="B16" s="800" t="s">
        <v>594</v>
      </c>
      <c r="C16" s="800" t="str">
        <f>'Haver Pivoted'!A15</f>
        <v>gtfp</v>
      </c>
      <c r="D16" s="800">
        <v>4237.1000000000004</v>
      </c>
      <c r="E16" s="800">
        <f>'Haver Pivoted'!GY15</f>
        <v>4257.8999999999996</v>
      </c>
      <c r="F16" s="800">
        <f t="shared" si="0"/>
        <v>20.799999999999272</v>
      </c>
      <c r="G16" s="811">
        <f t="shared" si="1"/>
        <v>4.9090179603972694E-3</v>
      </c>
    </row>
    <row r="17" spans="1:7">
      <c r="B17" s="800" t="s">
        <v>1058</v>
      </c>
      <c r="C17" s="800" t="str">
        <f>'Haver Pivoted'!A16</f>
        <v>ypog</v>
      </c>
      <c r="D17" s="800">
        <v>115.8</v>
      </c>
      <c r="E17" s="800">
        <f>'Haver Pivoted'!GY16</f>
        <v>116</v>
      </c>
      <c r="F17" s="800">
        <f t="shared" si="0"/>
        <v>0.20000000000000284</v>
      </c>
      <c r="G17" s="811">
        <f t="shared" si="1"/>
        <v>1.7271157167530471E-3</v>
      </c>
    </row>
    <row r="18" spans="1:7">
      <c r="B18" s="800" t="s">
        <v>1059</v>
      </c>
      <c r="C18" s="800" t="str">
        <f>'Haver Pivoted'!A17</f>
        <v>yptx</v>
      </c>
      <c r="D18" s="800">
        <v>2427.5</v>
      </c>
      <c r="E18" s="800">
        <f>'Haver Pivoted'!GY17</f>
        <v>2550.4</v>
      </c>
      <c r="F18" s="800">
        <f t="shared" si="0"/>
        <v>122.90000000000009</v>
      </c>
      <c r="G18" s="811">
        <f t="shared" si="1"/>
        <v>5.0628218331616924E-2</v>
      </c>
    </row>
    <row r="19" spans="1:7">
      <c r="B19" s="800" t="s">
        <v>648</v>
      </c>
      <c r="C19" s="800" t="str">
        <f>'Haver Pivoted'!A18</f>
        <v>ytpi</v>
      </c>
      <c r="D19" s="800">
        <v>1640.6</v>
      </c>
      <c r="E19" s="800">
        <f>'Haver Pivoted'!GY18</f>
        <v>1640.2</v>
      </c>
      <c r="F19" s="800">
        <f t="shared" si="0"/>
        <v>-0.39999999999986358</v>
      </c>
      <c r="G19" s="811">
        <f t="shared" si="1"/>
        <v>-2.4381323905879775E-4</v>
      </c>
    </row>
    <row r="20" spans="1:7">
      <c r="B20" s="800" t="s">
        <v>645</v>
      </c>
      <c r="C20" s="800" t="str">
        <f>'Haver Pivoted'!A19</f>
        <v>yctlg</v>
      </c>
      <c r="D20" s="800">
        <v>308.13333333333298</v>
      </c>
      <c r="E20" s="800">
        <f>'Haver Pivoted'!GY19</f>
        <v>351.7</v>
      </c>
      <c r="F20" s="800">
        <f t="shared" si="0"/>
        <v>43.566666666667004</v>
      </c>
      <c r="G20" s="811">
        <f t="shared" si="1"/>
        <v>0.1413890090869766</v>
      </c>
    </row>
    <row r="21" spans="1:7">
      <c r="B21" s="800" t="s">
        <v>1060</v>
      </c>
      <c r="C21" s="800" t="str">
        <f>'Haver Pivoted'!A20</f>
        <v>g</v>
      </c>
      <c r="D21" s="800">
        <v>4018.9</v>
      </c>
      <c r="E21" s="800">
        <f>'Haver Pivoted'!GY20</f>
        <v>4016</v>
      </c>
      <c r="F21" s="800">
        <f t="shared" si="0"/>
        <v>-2.9000000000000909</v>
      </c>
      <c r="G21" s="811">
        <f t="shared" si="1"/>
        <v>-7.2159048495859339E-4</v>
      </c>
    </row>
    <row r="22" spans="1:7">
      <c r="B22" s="800" t="s">
        <v>1061</v>
      </c>
      <c r="C22" s="800" t="str">
        <f>'Haver Pivoted'!A21</f>
        <v>grcsi</v>
      </c>
      <c r="D22" s="800">
        <v>1562.7</v>
      </c>
      <c r="E22" s="800">
        <f>'Haver Pivoted'!GY21</f>
        <v>1564</v>
      </c>
      <c r="F22" s="800">
        <f t="shared" si="0"/>
        <v>1.2999999999999545</v>
      </c>
      <c r="G22" s="811">
        <f t="shared" si="1"/>
        <v>8.3189351762971426E-4</v>
      </c>
    </row>
    <row r="23" spans="1:7">
      <c r="B23" s="800" t="s">
        <v>456</v>
      </c>
      <c r="C23" s="800" t="str">
        <f>'Haver Pivoted'!A22</f>
        <v>dc</v>
      </c>
      <c r="D23" s="800">
        <v>114.739</v>
      </c>
      <c r="E23" s="800">
        <f>'Haver Pivoted'!GY22</f>
        <v>114.756</v>
      </c>
      <c r="F23" s="800">
        <f t="shared" si="0"/>
        <v>1.6999999999995907E-2</v>
      </c>
      <c r="G23" s="811">
        <f t="shared" si="1"/>
        <v>1.4816235107501291E-4</v>
      </c>
    </row>
    <row r="24" spans="1:7">
      <c r="A24" s="800" t="s">
        <v>382</v>
      </c>
      <c r="B24" s="800" t="s">
        <v>276</v>
      </c>
      <c r="C24" s="800" t="str">
        <f>'Haver Pivoted'!A23</f>
        <v>gf</v>
      </c>
      <c r="D24" s="800">
        <v>1563.6</v>
      </c>
      <c r="E24" s="800">
        <f>'Haver Pivoted'!GY23</f>
        <v>1563.3</v>
      </c>
      <c r="F24" s="800">
        <f t="shared" si="0"/>
        <v>-0.29999999999995453</v>
      </c>
      <c r="G24" s="811">
        <f t="shared" si="1"/>
        <v>-1.9186492709129865E-4</v>
      </c>
    </row>
    <row r="25" spans="1:7">
      <c r="A25" s="800" t="s">
        <v>382</v>
      </c>
      <c r="B25" s="800" t="s">
        <v>275</v>
      </c>
      <c r="C25" s="800" t="str">
        <f>'Haver Pivoted'!A24</f>
        <v>gs</v>
      </c>
      <c r="D25" s="800">
        <v>2455.4</v>
      </c>
      <c r="E25" s="800">
        <f>'Haver Pivoted'!GY24</f>
        <v>2452.6999999999998</v>
      </c>
      <c r="F25" s="800">
        <f t="shared" si="0"/>
        <v>-2.7000000000002728</v>
      </c>
      <c r="G25" s="811">
        <f t="shared" si="1"/>
        <v>-1.0996171703185928E-3</v>
      </c>
    </row>
    <row r="26" spans="1:7">
      <c r="B26" s="800" t="s">
        <v>1062</v>
      </c>
      <c r="C26" s="800" t="str">
        <f>'Haver Pivoted'!A25</f>
        <v>gfh</v>
      </c>
      <c r="D26" s="800">
        <v>1357.6</v>
      </c>
      <c r="E26" s="800">
        <f>'Haver Pivoted'!GY25</f>
        <v>1357.1</v>
      </c>
      <c r="F26" s="800">
        <f t="shared" si="0"/>
        <v>-0.5</v>
      </c>
      <c r="G26" s="811">
        <f t="shared" si="1"/>
        <v>-3.6829699469652328E-4</v>
      </c>
    </row>
    <row r="27" spans="1:7">
      <c r="B27" s="800" t="s">
        <v>1063</v>
      </c>
      <c r="C27" s="800" t="str">
        <f>'Haver Pivoted'!A26</f>
        <v>gsh</v>
      </c>
      <c r="D27" s="800">
        <v>2021.2</v>
      </c>
      <c r="E27" s="800">
        <f>'Haver Pivoted'!GY26</f>
        <v>2018.5</v>
      </c>
      <c r="F27" s="800">
        <f t="shared" si="0"/>
        <v>-2.7000000000000455</v>
      </c>
      <c r="G27" s="811">
        <f t="shared" si="1"/>
        <v>-1.3358400949930959E-3</v>
      </c>
    </row>
    <row r="28" spans="1:7">
      <c r="A28" s="800" t="s">
        <v>582</v>
      </c>
      <c r="B28" s="800" t="s">
        <v>583</v>
      </c>
      <c r="C28" s="800" t="s">
        <v>223</v>
      </c>
      <c r="D28" s="302">
        <v>1808.6</v>
      </c>
      <c r="E28" s="800">
        <f>'Haver Pivoted'!GY27</f>
        <v>1927.2</v>
      </c>
      <c r="F28" s="800">
        <f t="shared" si="0"/>
        <v>118.60000000000014</v>
      </c>
      <c r="G28" s="811" t="e">
        <f>F28/#REF!</f>
        <v>#REF!</v>
      </c>
    </row>
    <row r="29" spans="1:7">
      <c r="A29" s="800" t="s">
        <v>582</v>
      </c>
      <c r="B29" s="800" t="s">
        <v>584</v>
      </c>
      <c r="C29" s="800" t="s">
        <v>224</v>
      </c>
      <c r="D29" s="455">
        <v>177.2</v>
      </c>
      <c r="E29" s="800">
        <f>'Haver Pivoted'!GY28</f>
        <v>177.6</v>
      </c>
      <c r="F29" s="800">
        <f t="shared" si="0"/>
        <v>0.40000000000000568</v>
      </c>
      <c r="G29" s="811" t="e">
        <f>F29/#REF!</f>
        <v>#REF!</v>
      </c>
    </row>
    <row r="30" spans="1:7">
      <c r="A30" s="800" t="s">
        <v>582</v>
      </c>
      <c r="B30" s="800" t="s">
        <v>585</v>
      </c>
      <c r="C30" s="800" t="s">
        <v>225</v>
      </c>
      <c r="D30" s="455">
        <v>227.73333333333301</v>
      </c>
      <c r="E30" s="800">
        <f>'Haver Pivoted'!GY29</f>
        <v>261.2</v>
      </c>
      <c r="F30" s="800">
        <f t="shared" si="0"/>
        <v>33.466666666666981</v>
      </c>
      <c r="G30" s="811" t="e">
        <f>F30/#REF!</f>
        <v>#REF!</v>
      </c>
    </row>
    <row r="31" spans="1:7">
      <c r="A31" s="800" t="s">
        <v>582</v>
      </c>
      <c r="B31" s="800" t="s">
        <v>586</v>
      </c>
      <c r="C31" s="800" t="s">
        <v>226</v>
      </c>
      <c r="D31" s="824">
        <v>1540.8</v>
      </c>
      <c r="E31" s="800">
        <f>'Haver Pivoted'!GY30</f>
        <v>1542.1</v>
      </c>
      <c r="F31" s="800">
        <f t="shared" si="0"/>
        <v>1.2999999999999545</v>
      </c>
      <c r="G31" s="811" t="e">
        <f>F31/#REF!</f>
        <v>#REF!</v>
      </c>
    </row>
    <row r="32" spans="1:7">
      <c r="A32" s="800" t="s">
        <v>587</v>
      </c>
      <c r="B32" s="800" t="s">
        <v>588</v>
      </c>
      <c r="C32" s="800" t="str">
        <f>'Haver Pivoted'!A31</f>
        <v>gftfp</v>
      </c>
      <c r="D32" s="800">
        <v>3369.2</v>
      </c>
      <c r="E32" s="800">
        <f>'Haver Pivoted'!GY31</f>
        <v>3367.3</v>
      </c>
      <c r="F32" s="800">
        <f t="shared" si="0"/>
        <v>-1.8999999999996362</v>
      </c>
      <c r="G32" s="811">
        <f t="shared" si="1"/>
        <v>-5.6393209070391677E-4</v>
      </c>
    </row>
    <row r="33" spans="1:10">
      <c r="A33" s="800" t="s">
        <v>101</v>
      </c>
      <c r="B33" s="799" t="s">
        <v>589</v>
      </c>
      <c r="C33" s="800" t="str">
        <f>'Haver Pivoted'!A32</f>
        <v>gfeg</v>
      </c>
      <c r="D33" s="800">
        <v>1632.2</v>
      </c>
      <c r="E33" s="800">
        <f>'Haver Pivoted'!GY32</f>
        <v>1632.2</v>
      </c>
      <c r="F33" s="800">
        <f t="shared" si="0"/>
        <v>0</v>
      </c>
      <c r="G33" s="811">
        <f t="shared" si="1"/>
        <v>0</v>
      </c>
    </row>
    <row r="34" spans="1:10">
      <c r="A34" s="800" t="s">
        <v>582</v>
      </c>
      <c r="B34" s="800" t="s">
        <v>590</v>
      </c>
      <c r="C34" s="800" t="str">
        <f>'Haver Pivoted'!A33</f>
        <v>gsrpt</v>
      </c>
      <c r="D34" s="800">
        <v>618.79999999999995</v>
      </c>
      <c r="E34" s="800">
        <f>'Haver Pivoted'!GY33</f>
        <v>623.29999999999995</v>
      </c>
      <c r="F34" s="800">
        <f t="shared" si="0"/>
        <v>4.5</v>
      </c>
      <c r="G34" s="811">
        <f t="shared" si="1"/>
        <v>7.2721396250808017E-3</v>
      </c>
    </row>
    <row r="35" spans="1:10">
      <c r="A35" s="800" t="s">
        <v>582</v>
      </c>
      <c r="B35" s="800" t="s">
        <v>591</v>
      </c>
      <c r="C35" s="800" t="str">
        <f>'Haver Pivoted'!A34</f>
        <v>gsrpri</v>
      </c>
      <c r="D35" s="800">
        <v>1463.5</v>
      </c>
      <c r="E35" s="800">
        <f>'Haver Pivoted'!GY34</f>
        <v>1462.6</v>
      </c>
      <c r="F35" s="800">
        <f t="shared" si="0"/>
        <v>-0.90000000000009095</v>
      </c>
      <c r="G35" s="811">
        <f t="shared" si="1"/>
        <v>-6.1496412709264843E-4</v>
      </c>
    </row>
    <row r="36" spans="1:10">
      <c r="A36" s="800" t="s">
        <v>582</v>
      </c>
      <c r="B36" s="800" t="s">
        <v>592</v>
      </c>
      <c r="C36" s="800" t="str">
        <f>'Haver Pivoted'!A35</f>
        <v>gsrcp</v>
      </c>
      <c r="D36" s="800">
        <v>80.366666666666703</v>
      </c>
      <c r="E36" s="800">
        <f>'Haver Pivoted'!GY35</f>
        <v>90.6</v>
      </c>
      <c r="F36" s="800">
        <f t="shared" si="0"/>
        <v>10.233333333333292</v>
      </c>
      <c r="G36" s="811">
        <f t="shared" si="1"/>
        <v>0.12733305682289447</v>
      </c>
    </row>
    <row r="37" spans="1:10">
      <c r="A37" s="800" t="s">
        <v>582</v>
      </c>
      <c r="B37" s="800" t="s">
        <v>593</v>
      </c>
      <c r="C37" s="800" t="str">
        <f>'Haver Pivoted'!A36</f>
        <v>gsrs</v>
      </c>
      <c r="D37" s="800">
        <v>21.9</v>
      </c>
      <c r="E37" s="800">
        <f>'Haver Pivoted'!GY36</f>
        <v>21.9</v>
      </c>
      <c r="F37" s="800">
        <f t="shared" si="0"/>
        <v>0</v>
      </c>
      <c r="G37" s="811">
        <f t="shared" si="1"/>
        <v>0</v>
      </c>
    </row>
    <row r="38" spans="1:10">
      <c r="A38" s="800" t="s">
        <v>594</v>
      </c>
      <c r="B38" s="800" t="s">
        <v>7</v>
      </c>
      <c r="C38" s="800" t="str">
        <f>'Haver Pivoted'!A37</f>
        <v>gstfp</v>
      </c>
      <c r="D38" s="800">
        <v>867.9</v>
      </c>
      <c r="E38" s="800">
        <f>'Haver Pivoted'!GY37</f>
        <v>890.5</v>
      </c>
      <c r="F38" s="800">
        <f t="shared" si="0"/>
        <v>22.600000000000023</v>
      </c>
      <c r="G38" s="811">
        <f t="shared" si="1"/>
        <v>2.6039866344048881E-2</v>
      </c>
    </row>
    <row r="39" spans="1:10">
      <c r="B39" s="800" t="s">
        <v>1064</v>
      </c>
      <c r="C39" s="800" t="str">
        <f>'Haver Pivoted'!A38</f>
        <v>gset</v>
      </c>
      <c r="D39" s="800">
        <v>3323.2</v>
      </c>
      <c r="E39" s="800">
        <f>'Haver Pivoted'!GY38</f>
        <v>3342.9</v>
      </c>
      <c r="F39" s="800">
        <f t="shared" si="0"/>
        <v>19.700000000000273</v>
      </c>
      <c r="G39" s="811">
        <f t="shared" si="1"/>
        <v>5.92802118440066E-3</v>
      </c>
      <c r="I39" s="802"/>
    </row>
    <row r="40" spans="1:10">
      <c r="B40" s="800" t="s">
        <v>514</v>
      </c>
      <c r="C40" s="800" t="str">
        <f>'Haver Pivoted'!A39</f>
        <v>gfeghhx</v>
      </c>
      <c r="D40" s="800">
        <v>553.56399999999996</v>
      </c>
      <c r="E40" s="800">
        <f>'Haver Pivoted'!GY39</f>
        <v>553.56399999999996</v>
      </c>
      <c r="F40" s="800">
        <f t="shared" si="0"/>
        <v>0</v>
      </c>
      <c r="G40" s="811">
        <f t="shared" si="1"/>
        <v>0</v>
      </c>
    </row>
    <row r="41" spans="1:10">
      <c r="A41" s="800" t="s">
        <v>595</v>
      </c>
      <c r="B41" s="800" t="s">
        <v>180</v>
      </c>
      <c r="C41" s="800" t="str">
        <f>'Haver Pivoted'!A40</f>
        <v>gfeghdx</v>
      </c>
      <c r="D41" s="800">
        <v>520.72900000000004</v>
      </c>
      <c r="E41" s="800">
        <f>'Haver Pivoted'!GY40</f>
        <v>520.72900000000004</v>
      </c>
      <c r="F41" s="800">
        <f t="shared" si="0"/>
        <v>0</v>
      </c>
      <c r="G41" s="811">
        <f t="shared" si="1"/>
        <v>0</v>
      </c>
    </row>
    <row r="42" spans="1:10">
      <c r="A42" s="800" t="s">
        <v>101</v>
      </c>
      <c r="B42" s="800" t="s">
        <v>6</v>
      </c>
      <c r="C42" s="800" t="str">
        <f>'Haver Pivoted'!A41</f>
        <v>gfeigx</v>
      </c>
      <c r="D42" s="800">
        <v>76.701999999999998</v>
      </c>
      <c r="E42" s="800">
        <f>'Haver Pivoted'!GY41</f>
        <v>76.701999999999998</v>
      </c>
      <c r="F42" s="800">
        <f t="shared" si="0"/>
        <v>0</v>
      </c>
      <c r="G42" s="811">
        <f t="shared" si="1"/>
        <v>0</v>
      </c>
    </row>
    <row r="43" spans="1:10">
      <c r="B43" s="800" t="s">
        <v>1065</v>
      </c>
      <c r="C43" s="800" t="str">
        <f>'Haver Pivoted'!A42</f>
        <v>gfsub</v>
      </c>
      <c r="D43" s="800">
        <v>683.7</v>
      </c>
      <c r="E43" s="800">
        <f>'Haver Pivoted'!GY42</f>
        <v>683.6</v>
      </c>
      <c r="F43" s="800">
        <f t="shared" si="0"/>
        <v>-0.10000000000002274</v>
      </c>
      <c r="G43" s="811">
        <f t="shared" si="1"/>
        <v>-1.4626298083958276E-4</v>
      </c>
      <c r="H43" s="802"/>
      <c r="I43" s="815"/>
      <c r="J43" s="812"/>
    </row>
    <row r="44" spans="1:10">
      <c r="B44" s="800" t="s">
        <v>1066</v>
      </c>
      <c r="C44" s="800" t="str">
        <f>'Haver Pivoted'!A43</f>
        <v>gssub</v>
      </c>
      <c r="D44" s="800">
        <v>8.6</v>
      </c>
      <c r="E44" s="800">
        <f>'Haver Pivoted'!GY43</f>
        <v>8.6</v>
      </c>
      <c r="F44" s="800">
        <f t="shared" si="0"/>
        <v>0</v>
      </c>
      <c r="G44" s="811">
        <f t="shared" si="1"/>
        <v>0</v>
      </c>
      <c r="I44" s="801"/>
      <c r="J44" s="812"/>
    </row>
    <row r="45" spans="1:10">
      <c r="B45" s="800" t="s">
        <v>132</v>
      </c>
      <c r="C45" s="800" t="str">
        <f>'Haver Pivoted'!A44</f>
        <v>gsub</v>
      </c>
      <c r="D45" s="800">
        <v>692.3</v>
      </c>
      <c r="E45" s="800">
        <f>'Haver Pivoted'!GY44</f>
        <v>692.2</v>
      </c>
      <c r="F45" s="800">
        <f t="shared" si="0"/>
        <v>-9.9999999999909051E-2</v>
      </c>
      <c r="G45" s="811">
        <f t="shared" si="1"/>
        <v>-1.4444604940041752E-4</v>
      </c>
      <c r="I45" s="801"/>
      <c r="J45" s="813"/>
    </row>
    <row r="46" spans="1:10">
      <c r="A46" s="800" t="s">
        <v>131</v>
      </c>
      <c r="B46" s="800" t="s">
        <v>131</v>
      </c>
      <c r="C46" s="800" t="str">
        <f>'Haver Pivoted'!A45</f>
        <v>gftfpe</v>
      </c>
      <c r="D46" s="800">
        <v>290.10000000000002</v>
      </c>
      <c r="E46" s="800">
        <f>'Haver Pivoted'!GY45</f>
        <v>290.10000000000002</v>
      </c>
      <c r="F46" s="800">
        <f t="shared" si="0"/>
        <v>0</v>
      </c>
      <c r="G46" s="811">
        <f t="shared" si="1"/>
        <v>0</v>
      </c>
      <c r="I46" s="801"/>
      <c r="J46" s="813"/>
    </row>
    <row r="47" spans="1:10">
      <c r="B47" s="800" t="s">
        <v>1067</v>
      </c>
      <c r="C47" s="800" t="str">
        <f>'Haver Pivoted'!A46</f>
        <v>gftfpr</v>
      </c>
      <c r="D47" s="800">
        <v>14.1</v>
      </c>
      <c r="E47" s="800">
        <f>'Haver Pivoted'!GY46</f>
        <v>14.1</v>
      </c>
      <c r="F47" s="800">
        <f t="shared" si="0"/>
        <v>0</v>
      </c>
      <c r="G47" s="811">
        <f t="shared" si="1"/>
        <v>0</v>
      </c>
      <c r="I47" s="801"/>
      <c r="J47" s="813"/>
    </row>
    <row r="48" spans="1:10">
      <c r="A48" s="800" t="s">
        <v>481</v>
      </c>
      <c r="B48" s="804" t="s">
        <v>602</v>
      </c>
      <c r="C48" s="800" t="str">
        <f>'Haver Pivoted'!A47</f>
        <v>gftfpp</v>
      </c>
      <c r="D48" s="800">
        <v>24.7</v>
      </c>
      <c r="E48" s="800">
        <f>'Haver Pivoted'!GY47</f>
        <v>24.7</v>
      </c>
      <c r="F48" s="800">
        <f t="shared" si="0"/>
        <v>0</v>
      </c>
      <c r="G48" s="811">
        <f t="shared" si="1"/>
        <v>0</v>
      </c>
      <c r="J48" s="813"/>
    </row>
    <row r="49" spans="1:11">
      <c r="A49" s="800" t="s">
        <v>390</v>
      </c>
      <c r="B49" s="802" t="s">
        <v>695</v>
      </c>
      <c r="C49" s="800" t="str">
        <f>'Haver Pivoted'!A48</f>
        <v>gftfpv</v>
      </c>
      <c r="D49" s="800">
        <v>26.6</v>
      </c>
      <c r="E49" s="800">
        <f>'Haver Pivoted'!GY48</f>
        <v>26.6</v>
      </c>
      <c r="F49" s="800">
        <f t="shared" si="0"/>
        <v>0</v>
      </c>
      <c r="G49" s="811">
        <f t="shared" si="1"/>
        <v>0</v>
      </c>
      <c r="H49" s="803"/>
      <c r="I49" s="803"/>
    </row>
    <row r="50" spans="1:11">
      <c r="A50" s="800" t="s">
        <v>698</v>
      </c>
      <c r="B50" s="540" t="s">
        <v>411</v>
      </c>
      <c r="C50" s="800" t="str">
        <f>'Haver Pivoted'!A49</f>
        <v>gfsubp</v>
      </c>
      <c r="D50" s="800">
        <v>427.2</v>
      </c>
      <c r="E50" s="800">
        <f>'Haver Pivoted'!GY49</f>
        <v>427.2</v>
      </c>
      <c r="F50" s="800">
        <f t="shared" si="0"/>
        <v>0</v>
      </c>
      <c r="G50" s="811">
        <f t="shared" si="1"/>
        <v>0</v>
      </c>
      <c r="H50" s="903"/>
      <c r="I50" s="135"/>
    </row>
    <row r="51" spans="1:11">
      <c r="A51" s="800" t="s">
        <v>132</v>
      </c>
      <c r="B51" s="393" t="s">
        <v>410</v>
      </c>
      <c r="C51" s="800" t="str">
        <f>'Haver Pivoted'!A50</f>
        <v>gfsubg</v>
      </c>
      <c r="D51" s="800">
        <v>47.3</v>
      </c>
      <c r="E51" s="800">
        <f>'Haver Pivoted'!GY50</f>
        <v>47.3</v>
      </c>
      <c r="F51" s="800">
        <f t="shared" si="0"/>
        <v>0</v>
      </c>
      <c r="G51" s="811">
        <f t="shared" si="1"/>
        <v>0</v>
      </c>
      <c r="H51" s="850"/>
      <c r="I51" s="904"/>
    </row>
    <row r="52" spans="1:11">
      <c r="A52" s="800" t="s">
        <v>132</v>
      </c>
      <c r="B52" s="393" t="s">
        <v>409</v>
      </c>
      <c r="C52" s="800" t="str">
        <f>'Haver Pivoted'!A51</f>
        <v>gfsube</v>
      </c>
      <c r="D52" s="800">
        <v>62.9</v>
      </c>
      <c r="E52" s="800">
        <f>'Haver Pivoted'!GY51</f>
        <v>62.9</v>
      </c>
      <c r="F52" s="800">
        <f t="shared" si="0"/>
        <v>0</v>
      </c>
      <c r="G52" s="811">
        <f t="shared" si="1"/>
        <v>0</v>
      </c>
      <c r="H52" s="905"/>
      <c r="I52" s="135"/>
    </row>
    <row r="53" spans="1:11">
      <c r="A53" s="800" t="s">
        <v>132</v>
      </c>
      <c r="B53" s="393" t="s">
        <v>413</v>
      </c>
      <c r="C53" s="800" t="str">
        <f>'Haver Pivoted'!A52</f>
        <v>gfsubs</v>
      </c>
      <c r="D53" s="800">
        <v>12.3</v>
      </c>
      <c r="E53" s="800">
        <f>'Haver Pivoted'!GY52</f>
        <v>12.3</v>
      </c>
      <c r="F53" s="800">
        <f t="shared" si="0"/>
        <v>0</v>
      </c>
      <c r="G53" s="811">
        <f t="shared" si="1"/>
        <v>0</v>
      </c>
      <c r="H53" s="905"/>
      <c r="I53" s="135"/>
    </row>
    <row r="54" spans="1:11">
      <c r="A54" s="800" t="s">
        <v>132</v>
      </c>
      <c r="B54" s="393" t="s">
        <v>408</v>
      </c>
      <c r="C54" s="800" t="str">
        <f>'Haver Pivoted'!A53</f>
        <v>gfsubf</v>
      </c>
      <c r="D54" s="800">
        <v>1.8</v>
      </c>
      <c r="E54" s="800">
        <f>'Haver Pivoted'!GY53</f>
        <v>1.8</v>
      </c>
      <c r="F54" s="800">
        <f t="shared" si="0"/>
        <v>0</v>
      </c>
      <c r="G54" s="811">
        <f t="shared" si="1"/>
        <v>0</v>
      </c>
      <c r="H54" s="903"/>
      <c r="I54" s="135"/>
    </row>
    <row r="55" spans="1:11">
      <c r="A55" s="800" t="s">
        <v>700</v>
      </c>
      <c r="B55" s="393" t="s">
        <v>691</v>
      </c>
      <c r="C55" s="800" t="str">
        <f>'Haver Pivoted'!A54</f>
        <v>gfsubv</v>
      </c>
      <c r="D55" s="800">
        <v>16</v>
      </c>
      <c r="E55" s="800">
        <f>'Haver Pivoted'!GY54</f>
        <v>16</v>
      </c>
      <c r="F55" s="800">
        <f t="shared" si="0"/>
        <v>0</v>
      </c>
      <c r="G55" s="811">
        <f t="shared" si="1"/>
        <v>0</v>
      </c>
      <c r="H55" s="299"/>
      <c r="I55" s="581"/>
    </row>
    <row r="56" spans="1:11">
      <c r="A56" s="800" t="s">
        <v>132</v>
      </c>
      <c r="B56" s="393" t="s">
        <v>414</v>
      </c>
      <c r="C56" s="800" t="str">
        <f>'Haver Pivoted'!A55</f>
        <v>gfsubk</v>
      </c>
      <c r="D56" s="800">
        <v>8</v>
      </c>
      <c r="E56" s="800">
        <f>'Haver Pivoted'!GY55</f>
        <v>8</v>
      </c>
      <c r="F56" s="800">
        <f t="shared" si="0"/>
        <v>0</v>
      </c>
      <c r="G56" s="811">
        <f t="shared" si="1"/>
        <v>0</v>
      </c>
      <c r="H56" s="903"/>
      <c r="I56" s="135"/>
    </row>
    <row r="57" spans="1:11">
      <c r="A57" s="800" t="s">
        <v>101</v>
      </c>
      <c r="B57" s="799" t="s">
        <v>289</v>
      </c>
      <c r="C57" s="800" t="str">
        <f>'Haver Pivoted'!A56</f>
        <v>gfegc</v>
      </c>
      <c r="D57" s="800">
        <v>785.9</v>
      </c>
      <c r="E57" s="800">
        <f>'Haver Pivoted'!GY56</f>
        <v>785.9</v>
      </c>
      <c r="F57" s="800">
        <f t="shared" si="0"/>
        <v>0</v>
      </c>
      <c r="G57" s="811"/>
      <c r="H57" s="903"/>
      <c r="I57" s="135"/>
    </row>
    <row r="58" spans="1:11">
      <c r="A58" s="800" t="s">
        <v>101</v>
      </c>
      <c r="B58" s="799" t="s">
        <v>290</v>
      </c>
      <c r="C58" s="800" t="str">
        <f>'Haver Pivoted'!A57</f>
        <v>gfege</v>
      </c>
      <c r="D58" s="800">
        <v>67.599999999999994</v>
      </c>
      <c r="E58" s="800">
        <f>'Haver Pivoted'!GY57</f>
        <v>67.599999999999994</v>
      </c>
      <c r="F58" s="800">
        <f t="shared" si="0"/>
        <v>0</v>
      </c>
      <c r="G58" s="811">
        <f t="shared" si="1"/>
        <v>0</v>
      </c>
      <c r="H58" s="903"/>
      <c r="I58" s="135"/>
    </row>
    <row r="59" spans="1:11">
      <c r="A59" s="800" t="s">
        <v>701</v>
      </c>
      <c r="B59" s="799" t="s">
        <v>291</v>
      </c>
      <c r="C59" s="800" t="str">
        <f>'Haver Pivoted'!A58</f>
        <v>gfegv</v>
      </c>
      <c r="D59" s="800">
        <v>10.6</v>
      </c>
      <c r="E59" s="800">
        <f>'Haver Pivoted'!GY58</f>
        <v>10.6</v>
      </c>
      <c r="F59" s="800">
        <f t="shared" si="0"/>
        <v>0</v>
      </c>
      <c r="G59" s="811">
        <f t="shared" si="1"/>
        <v>0</v>
      </c>
    </row>
    <row r="60" spans="1:11">
      <c r="A60" s="800" t="s">
        <v>596</v>
      </c>
      <c r="B60" s="800" t="s">
        <v>597</v>
      </c>
      <c r="C60" s="800" t="str">
        <f>'Haver Pivoted'!A59</f>
        <v>yptue</v>
      </c>
      <c r="D60" s="800">
        <v>105.1</v>
      </c>
      <c r="E60" s="800">
        <f>'Haver Pivoted'!GY59</f>
        <v>104.5</v>
      </c>
      <c r="F60" s="800">
        <f t="shared" si="0"/>
        <v>-0.59999999999999432</v>
      </c>
      <c r="G60" s="811">
        <f t="shared" si="1"/>
        <v>-5.7088487155089853E-3</v>
      </c>
    </row>
    <row r="61" spans="1:11">
      <c r="A61" s="800" t="s">
        <v>596</v>
      </c>
      <c r="B61" s="800" t="s">
        <v>598</v>
      </c>
      <c r="C61" s="800" t="str">
        <f>'Haver Pivoted'!A60</f>
        <v>yptup</v>
      </c>
      <c r="D61" s="800">
        <v>82.4</v>
      </c>
      <c r="E61" s="800">
        <f>'Haver Pivoted'!GY60</f>
        <v>82.1</v>
      </c>
      <c r="F61" s="800">
        <f t="shared" si="0"/>
        <v>-0.30000000000001137</v>
      </c>
      <c r="G61" s="811">
        <f t="shared" si="1"/>
        <v>-3.6407766990292638E-3</v>
      </c>
      <c r="H61" s="802"/>
      <c r="I61" s="802"/>
      <c r="J61" s="802"/>
      <c r="K61" s="802"/>
    </row>
    <row r="62" spans="1:11">
      <c r="A62" s="800" t="s">
        <v>596</v>
      </c>
      <c r="B62" s="800" t="s">
        <v>142</v>
      </c>
      <c r="C62" s="800" t="str">
        <f>'Haver Pivoted'!A61</f>
        <v>yptuc</v>
      </c>
      <c r="D62" s="800">
        <v>238</v>
      </c>
      <c r="E62" s="800">
        <f>'Haver Pivoted'!GY61</f>
        <v>237.2</v>
      </c>
      <c r="F62" s="800">
        <f t="shared" si="0"/>
        <v>-0.80000000000001137</v>
      </c>
      <c r="G62" s="811">
        <f t="shared" si="1"/>
        <v>-3.361344537815174E-3</v>
      </c>
      <c r="H62" s="804"/>
      <c r="I62" s="804"/>
      <c r="J62" s="802"/>
      <c r="K62" s="802"/>
    </row>
    <row r="63" spans="1:11">
      <c r="B63" s="800" t="s">
        <v>1068</v>
      </c>
      <c r="C63" s="800" t="str">
        <f>'Haver Pivoted'!A62</f>
        <v>gftfpu</v>
      </c>
      <c r="D63" s="800">
        <v>431.3</v>
      </c>
      <c r="E63" s="800">
        <f>'Haver Pivoted'!GY62</f>
        <v>429.7</v>
      </c>
      <c r="F63" s="800">
        <f t="shared" si="0"/>
        <v>-1.6000000000000227</v>
      </c>
      <c r="G63" s="811">
        <f t="shared" si="1"/>
        <v>-3.7097148156735979E-3</v>
      </c>
      <c r="H63" s="805"/>
      <c r="I63" s="805"/>
      <c r="J63" s="802"/>
      <c r="K63" s="802"/>
    </row>
    <row r="64" spans="1:11">
      <c r="A64" s="800" t="s">
        <v>596</v>
      </c>
      <c r="B64" s="806" t="s">
        <v>699</v>
      </c>
      <c r="C64" s="800" t="str">
        <f>'Haver Pivoted'!A63</f>
        <v>yptub</v>
      </c>
      <c r="D64" s="800">
        <v>5.8</v>
      </c>
      <c r="E64" s="800">
        <f>'Haver Pivoted'!GY63</f>
        <v>5.8</v>
      </c>
      <c r="F64" s="800">
        <f t="shared" si="0"/>
        <v>0</v>
      </c>
      <c r="G64" s="811">
        <f t="shared" si="1"/>
        <v>0</v>
      </c>
      <c r="H64" s="805"/>
      <c r="I64" s="805"/>
      <c r="J64" s="802"/>
      <c r="K64" s="802"/>
    </row>
    <row r="65" spans="1:11">
      <c r="A65" s="800" t="s">
        <v>596</v>
      </c>
      <c r="B65" s="800" t="s">
        <v>271</v>
      </c>
      <c r="C65" s="800" t="str">
        <f>'Haver Pivoted'!A64</f>
        <v>yptol</v>
      </c>
      <c r="D65" s="800">
        <v>0.6</v>
      </c>
      <c r="E65" s="800">
        <f>'Haver Pivoted'!GY64</f>
        <v>0.6</v>
      </c>
      <c r="F65" s="800">
        <f t="shared" si="0"/>
        <v>0</v>
      </c>
      <c r="G65" s="811">
        <f t="shared" si="1"/>
        <v>0</v>
      </c>
      <c r="H65" s="805"/>
      <c r="I65" s="805"/>
      <c r="J65" s="802"/>
      <c r="K65" s="802"/>
    </row>
    <row r="66" spans="1:11">
      <c r="B66" s="804" t="s">
        <v>532</v>
      </c>
      <c r="C66" s="800" t="str">
        <f>'Haver Pivoted'!A65</f>
        <v>gfctp</v>
      </c>
      <c r="D66" s="800">
        <v>88.8</v>
      </c>
      <c r="E66" s="800">
        <f>'Haver Pivoted'!GY65</f>
        <v>88.8</v>
      </c>
      <c r="F66" s="800">
        <f t="shared" si="0"/>
        <v>0</v>
      </c>
      <c r="G66" s="811">
        <f t="shared" si="1"/>
        <v>0</v>
      </c>
      <c r="H66" s="807"/>
      <c r="I66" s="807"/>
      <c r="J66" s="802"/>
      <c r="K66" s="802"/>
    </row>
    <row r="67" spans="1:11">
      <c r="A67" s="804" t="s">
        <v>594</v>
      </c>
      <c r="B67" s="816" t="s">
        <v>599</v>
      </c>
      <c r="C67" s="800" t="str">
        <f>'Haver Pivoted'!A66</f>
        <v>gftffx</v>
      </c>
      <c r="D67" s="817">
        <v>124.27</v>
      </c>
      <c r="E67" s="800">
        <f>'Haver Pivoted'!GY66</f>
        <v>124.33499999999999</v>
      </c>
      <c r="F67" s="800">
        <f t="shared" si="0"/>
        <v>6.4999999999997726E-2</v>
      </c>
      <c r="G67" s="811">
        <f t="shared" si="1"/>
        <v>5.2305463909228073E-4</v>
      </c>
      <c r="H67" s="807"/>
      <c r="I67" s="807"/>
      <c r="J67" s="802"/>
      <c r="K67" s="802"/>
    </row>
    <row r="68" spans="1:11">
      <c r="B68" s="800" t="s">
        <v>1072</v>
      </c>
      <c r="C68" s="800" t="str">
        <f>'Haver Pivoted'!A67</f>
        <v>cpiu</v>
      </c>
      <c r="D68" s="817">
        <v>268.78800000000001</v>
      </c>
      <c r="E68" s="800">
        <f>'Haver Pivoted'!GY67</f>
        <v>268.78800000000001</v>
      </c>
      <c r="F68" s="800">
        <f t="shared" ref="F68:F81" si="2">E68-D68</f>
        <v>0</v>
      </c>
      <c r="G68" s="811">
        <f t="shared" ref="G68:G81" si="3">F68/D68</f>
        <v>0</v>
      </c>
      <c r="H68" s="807"/>
      <c r="I68" s="807"/>
      <c r="J68" s="802"/>
      <c r="K68" s="802"/>
    </row>
    <row r="69" spans="1:11">
      <c r="C69" s="800" t="str">
        <f>'Haver Pivoted'!A68</f>
        <v>pcw</v>
      </c>
      <c r="D69" s="817">
        <v>263.125333333333</v>
      </c>
      <c r="E69" s="800">
        <f>'Haver Pivoted'!GY68</f>
        <v>263.125333333333</v>
      </c>
      <c r="F69" s="800">
        <f t="shared" si="2"/>
        <v>0</v>
      </c>
      <c r="G69" s="811">
        <f t="shared" si="3"/>
        <v>0</v>
      </c>
      <c r="H69" s="804"/>
      <c r="I69" s="804"/>
      <c r="J69" s="802"/>
      <c r="K69" s="802"/>
    </row>
    <row r="70" spans="1:11">
      <c r="B70" s="804" t="s">
        <v>1069</v>
      </c>
      <c r="C70" s="800" t="str">
        <f>'Haver Pivoted'!A69</f>
        <v>gdppothq</v>
      </c>
      <c r="D70" s="817">
        <v>19697.400000000001</v>
      </c>
      <c r="E70" s="800">
        <f>'Haver Pivoted'!GY69</f>
        <v>19697.400000000001</v>
      </c>
      <c r="F70" s="800">
        <f t="shared" si="2"/>
        <v>0</v>
      </c>
      <c r="G70" s="811">
        <f t="shared" si="3"/>
        <v>0</v>
      </c>
      <c r="H70" s="802"/>
      <c r="I70" s="802"/>
      <c r="J70" s="802"/>
      <c r="K70" s="802"/>
    </row>
    <row r="71" spans="1:11">
      <c r="B71" s="804" t="s">
        <v>1070</v>
      </c>
      <c r="C71" s="800" t="str">
        <f>'Haver Pivoted'!A70</f>
        <v>gdppotq</v>
      </c>
      <c r="D71" s="817">
        <v>22983.3</v>
      </c>
      <c r="E71" s="800">
        <f>'Haver Pivoted'!GY70</f>
        <v>22983.3</v>
      </c>
      <c r="F71" s="800">
        <f t="shared" si="2"/>
        <v>0</v>
      </c>
      <c r="G71" s="811">
        <f t="shared" si="3"/>
        <v>0</v>
      </c>
      <c r="H71" s="802"/>
      <c r="I71" s="802"/>
      <c r="J71" s="802"/>
      <c r="K71" s="802"/>
    </row>
    <row r="72" spans="1:11">
      <c r="B72" s="804" t="s">
        <v>1071</v>
      </c>
      <c r="C72" s="800" t="str">
        <f>'Haver Pivoted'!A71</f>
        <v>recessq</v>
      </c>
      <c r="D72" s="817">
        <v>-1</v>
      </c>
      <c r="E72" s="800">
        <f>'Haver Pivoted'!GY71</f>
        <v>-1</v>
      </c>
      <c r="F72" s="800">
        <f t="shared" si="2"/>
        <v>0</v>
      </c>
      <c r="G72" s="811">
        <f t="shared" si="3"/>
        <v>0</v>
      </c>
      <c r="H72" s="802"/>
      <c r="I72" s="802"/>
      <c r="J72" s="802"/>
      <c r="K72" s="802"/>
    </row>
    <row r="73" spans="1:11">
      <c r="A73" s="800" t="s">
        <v>130</v>
      </c>
      <c r="B73" s="800" t="s">
        <v>1035</v>
      </c>
      <c r="C73" s="800" t="str">
        <f>'Haver Pivoted'!A72</f>
        <v>lasgova</v>
      </c>
      <c r="D73" s="817">
        <v>5031.3333333333303</v>
      </c>
      <c r="E73" s="800">
        <f>'Haver Pivoted'!GY72</f>
        <v>5025.6666666666697</v>
      </c>
      <c r="F73" s="800">
        <f t="shared" si="2"/>
        <v>-5.6666666666606034</v>
      </c>
      <c r="G73" s="811">
        <f t="shared" si="3"/>
        <v>-1.1262753411939725E-3</v>
      </c>
    </row>
    <row r="74" spans="1:11">
      <c r="A74" s="800" t="s">
        <v>130</v>
      </c>
      <c r="B74" s="800" t="s">
        <v>1036</v>
      </c>
      <c r="C74" s="800" t="str">
        <f>'Haver Pivoted'!A73</f>
        <v>lalgova</v>
      </c>
      <c r="D74" s="817">
        <v>13778.333333333299</v>
      </c>
      <c r="E74" s="800">
        <f>'Haver Pivoted'!GY73</f>
        <v>13773.666666666701</v>
      </c>
      <c r="F74" s="800">
        <f t="shared" si="2"/>
        <v>-4.6666666665987577</v>
      </c>
      <c r="G74" s="811">
        <f t="shared" si="3"/>
        <v>-3.3869602031683338E-4</v>
      </c>
    </row>
    <row r="75" spans="1:11">
      <c r="A75" s="800" t="s">
        <v>130</v>
      </c>
      <c r="B75" s="800" t="s">
        <v>1053</v>
      </c>
      <c r="C75" s="800" t="str">
        <f>'Haver Pivoted'!A74</f>
        <v>cpgs</v>
      </c>
      <c r="D75" s="817">
        <v>324766.55555555603</v>
      </c>
      <c r="E75" s="800">
        <f>'Haver Pivoted'!GY74</f>
        <v>317911</v>
      </c>
      <c r="F75" s="800">
        <f t="shared" si="2"/>
        <v>-6855.5555555560277</v>
      </c>
      <c r="G75" s="811">
        <f t="shared" si="3"/>
        <v>-2.110917961927667E-2</v>
      </c>
    </row>
    <row r="76" spans="1:11">
      <c r="B76" s="800" t="s">
        <v>457</v>
      </c>
      <c r="C76" s="800" t="str">
        <f>'Haver Pivoted'!A75</f>
        <v>jgdp_growth</v>
      </c>
      <c r="D76" s="818">
        <v>1.4616752715279799E-2</v>
      </c>
      <c r="E76" s="800">
        <f>'Haver Pivoted'!GY75</f>
        <v>1.48584946385095E-2</v>
      </c>
      <c r="F76" s="800">
        <f t="shared" si="2"/>
        <v>2.417419232297012E-4</v>
      </c>
      <c r="G76" s="811">
        <f t="shared" si="3"/>
        <v>1.6538688718253636E-2</v>
      </c>
    </row>
    <row r="77" spans="1:11">
      <c r="B77" s="800" t="s">
        <v>455</v>
      </c>
      <c r="C77" s="800" t="str">
        <f>'Haver Pivoted'!A76</f>
        <v>jc_growth</v>
      </c>
      <c r="D77" s="818">
        <v>1.5656391330129301E-2</v>
      </c>
      <c r="E77" s="800">
        <f>'Haver Pivoted'!GY76</f>
        <v>1.5806848454274401E-2</v>
      </c>
      <c r="F77" s="800">
        <f t="shared" si="2"/>
        <v>1.5045712414510012E-4</v>
      </c>
      <c r="G77" s="811">
        <f t="shared" si="3"/>
        <v>9.6099491238162311E-3</v>
      </c>
    </row>
    <row r="78" spans="1:11">
      <c r="B78" s="800" t="s">
        <v>453</v>
      </c>
      <c r="C78" s="800" t="str">
        <f>'Haver Pivoted'!A77</f>
        <v>jgf_growth</v>
      </c>
      <c r="D78" s="818">
        <v>9.7400604918249593E-3</v>
      </c>
      <c r="E78" s="800">
        <f>'Haver Pivoted'!GY77</f>
        <v>9.8627975277254497E-3</v>
      </c>
      <c r="F78" s="800">
        <f t="shared" si="2"/>
        <v>1.2273703590049041E-4</v>
      </c>
      <c r="G78" s="811">
        <f t="shared" si="3"/>
        <v>1.2601260126002937E-2</v>
      </c>
    </row>
    <row r="79" spans="1:11">
      <c r="B79" s="800" t="s">
        <v>451</v>
      </c>
      <c r="C79" s="800" t="str">
        <f>'Haver Pivoted'!A78</f>
        <v>jgs_growth</v>
      </c>
      <c r="D79" s="818">
        <v>1.72841160313526E-2</v>
      </c>
      <c r="E79" s="800">
        <f>'Haver Pivoted'!GY78</f>
        <v>1.75269645608629E-2</v>
      </c>
      <c r="F79" s="800">
        <f t="shared" si="2"/>
        <v>2.4284852951030056E-4</v>
      </c>
      <c r="G79" s="811">
        <f t="shared" si="3"/>
        <v>1.4050387596900206E-2</v>
      </c>
    </row>
    <row r="80" spans="1:11">
      <c r="B80" s="800" t="s">
        <v>449</v>
      </c>
      <c r="C80" s="800" t="str">
        <f>'Haver Pivoted'!A79</f>
        <v>jgse_growth</v>
      </c>
      <c r="D80" s="818">
        <v>1.6421172510237E-2</v>
      </c>
      <c r="E80" s="800">
        <f>'Haver Pivoted'!GY79</f>
        <v>1.65635284167511E-2</v>
      </c>
      <c r="F80" s="800">
        <f t="shared" si="2"/>
        <v>1.4235590651410016E-4</v>
      </c>
      <c r="G80" s="811">
        <f t="shared" si="3"/>
        <v>8.6690464048992319E-3</v>
      </c>
    </row>
    <row r="81" spans="2:7">
      <c r="B81" s="800" t="s">
        <v>447</v>
      </c>
      <c r="C81" s="800" t="str">
        <f>'Haver Pivoted'!A80</f>
        <v>jgsi_growth</v>
      </c>
      <c r="D81" s="818">
        <v>2.12199370268642E-2</v>
      </c>
      <c r="E81" s="800">
        <f>'Haver Pivoted'!GY80</f>
        <v>2.1931734440946E-2</v>
      </c>
      <c r="F81" s="800">
        <f t="shared" si="2"/>
        <v>7.1179741408180022E-4</v>
      </c>
      <c r="G81" s="811">
        <f t="shared" si="3"/>
        <v>3.3543804262033045E-2</v>
      </c>
    </row>
  </sheetData>
  <conditionalFormatting sqref="F3:F81">
    <cfRule type="cellIs" dxfId="9" priority="1" operator="lessThan">
      <formula>0</formula>
    </cfRule>
    <cfRule type="cellIs" dxfId="8" priority="2" operator="greaterThan">
      <formula>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9A259-2FBB-4388-92AF-F3B449F16841}">
  <dimension ref="B2:R99"/>
  <sheetViews>
    <sheetView topLeftCell="B1" zoomScale="82" workbookViewId="0">
      <selection activeCell="S91" sqref="S91"/>
    </sheetView>
  </sheetViews>
  <sheetFormatPr baseColWidth="10" defaultColWidth="8.83203125" defaultRowHeight="15"/>
  <cols>
    <col min="2" max="2" width="26.5" customWidth="1"/>
    <col min="3" max="3" width="20.1640625" customWidth="1"/>
    <col min="4" max="15" width="9.5" bestFit="1" customWidth="1"/>
  </cols>
  <sheetData>
    <row r="2" spans="2:18">
      <c r="B2" s="1342" t="s">
        <v>1161</v>
      </c>
      <c r="C2" s="1342"/>
      <c r="D2" s="1342"/>
      <c r="E2" s="1342"/>
      <c r="F2" s="1342"/>
      <c r="G2" s="1342"/>
      <c r="H2" s="1342"/>
      <c r="I2" s="1342"/>
      <c r="J2" s="1342"/>
      <c r="K2" s="1342"/>
      <c r="L2" s="1342"/>
      <c r="M2" s="1342"/>
      <c r="N2" s="1342"/>
      <c r="O2" s="1342"/>
      <c r="P2" s="1342"/>
      <c r="Q2" s="1342"/>
      <c r="R2" s="1342"/>
    </row>
    <row r="3" spans="2:18">
      <c r="B3" t="str">
        <f>forecast!A1</f>
        <v>name</v>
      </c>
      <c r="C3" s="560" t="str">
        <f>forecast!B1</f>
        <v>variable</v>
      </c>
      <c r="D3" s="560" t="str">
        <f>forecast!C1</f>
        <v>2021 Q3</v>
      </c>
      <c r="E3" s="560" t="str">
        <f>forecast!D1</f>
        <v>2021 Q4</v>
      </c>
      <c r="F3" s="560" t="str">
        <f>forecast!E1</f>
        <v>2022 Q1</v>
      </c>
      <c r="G3" s="560" t="str">
        <f>forecast!F1</f>
        <v>2022 Q2</v>
      </c>
      <c r="H3" s="560" t="str">
        <f>forecast!G1</f>
        <v>2022 Q3</v>
      </c>
      <c r="I3" s="560" t="str">
        <f>forecast!H1</f>
        <v>2022 Q4</v>
      </c>
      <c r="J3" s="560" t="str">
        <f>forecast!I1</f>
        <v>2023 Q1</v>
      </c>
      <c r="K3" s="560" t="str">
        <f>forecast!J1</f>
        <v>2023 Q2</v>
      </c>
      <c r="L3" s="560" t="str">
        <f>forecast!K1</f>
        <v>2023 Q3</v>
      </c>
      <c r="M3" s="560" t="str">
        <f>forecast!L1</f>
        <v>2023 Q4</v>
      </c>
      <c r="N3" s="560" t="str">
        <f>forecast!M1</f>
        <v>2024 Q1</v>
      </c>
      <c r="O3" s="560" t="str">
        <f>forecast!N1</f>
        <v>2024 Q2</v>
      </c>
      <c r="P3" s="560" t="s">
        <v>165</v>
      </c>
      <c r="Q3" s="560" t="s">
        <v>166</v>
      </c>
      <c r="R3" s="560" t="s">
        <v>167</v>
      </c>
    </row>
    <row r="4" spans="2:18">
      <c r="B4" s="560" t="str">
        <f>forecast!A2</f>
        <v>Consumption Grants</v>
      </c>
      <c r="C4" s="560" t="str">
        <f>forecast!B2</f>
        <v>consumption_grants</v>
      </c>
      <c r="D4" s="572">
        <f>forecast!C2</f>
        <v>357.37317644110277</v>
      </c>
      <c r="E4" s="572">
        <f>forecast!D2</f>
        <v>393.13708782957406</v>
      </c>
      <c r="F4" s="572">
        <f>forecast!E2</f>
        <v>401.59684440561404</v>
      </c>
      <c r="G4" s="572">
        <f>forecast!F2</f>
        <v>419.69377636126723</v>
      </c>
      <c r="H4" s="572">
        <f>forecast!G2</f>
        <v>438.34081535917659</v>
      </c>
      <c r="I4" s="572">
        <f>forecast!H2</f>
        <v>458.27990750346845</v>
      </c>
      <c r="J4" s="572">
        <f>forecast!I2</f>
        <v>478.97760180360723</v>
      </c>
      <c r="K4" s="572">
        <f>forecast!J2</f>
        <v>471.71644350775153</v>
      </c>
      <c r="L4" s="572">
        <f>forecast!K2</f>
        <v>479.39300748806158</v>
      </c>
      <c r="M4" s="572">
        <f>forecast!L2</f>
        <v>492.73634954758404</v>
      </c>
      <c r="N4" s="572">
        <f>forecast!M2</f>
        <v>481.54983616948743</v>
      </c>
      <c r="O4" s="572">
        <f>forecast!N2</f>
        <v>473.87554213626697</v>
      </c>
      <c r="P4" s="572">
        <f>forecast!O2</f>
        <v>489.00698046171772</v>
      </c>
      <c r="Q4" s="572">
        <f>forecast!P2</f>
        <v>503.86304218018643</v>
      </c>
      <c r="R4" s="572">
        <f>forecast!Q2</f>
        <v>511.23178213939389</v>
      </c>
    </row>
    <row r="5" spans="2:18">
      <c r="B5" s="560" t="str">
        <f>forecast!A3</f>
        <v>Investment Grants</v>
      </c>
      <c r="C5" s="560" t="str">
        <f>forecast!B3</f>
        <v>investment_grants</v>
      </c>
      <c r="D5" s="572">
        <f>forecast!C3</f>
        <v>75.205285714285722</v>
      </c>
      <c r="E5" s="572">
        <f>forecast!D3</f>
        <v>75.205285714285722</v>
      </c>
      <c r="F5" s="572">
        <f>forecast!E3</f>
        <v>75.205285714285722</v>
      </c>
      <c r="G5" s="572">
        <f>forecast!F3</f>
        <v>75.205285714285722</v>
      </c>
      <c r="H5" s="572">
        <f>forecast!G3</f>
        <v>75.205285714285722</v>
      </c>
      <c r="I5" s="572">
        <f>forecast!H3</f>
        <v>75.205285714285722</v>
      </c>
      <c r="J5" s="572">
        <f>forecast!I3</f>
        <v>75.205285714285722</v>
      </c>
      <c r="K5" s="572">
        <f>forecast!J3</f>
        <v>75.205285714285722</v>
      </c>
      <c r="L5" s="572">
        <f>forecast!K3</f>
        <v>75.205285714285722</v>
      </c>
      <c r="M5" s="572">
        <f>forecast!L3</f>
        <v>75.205285714285722</v>
      </c>
      <c r="N5" s="572">
        <f>forecast!M3</f>
        <v>75.205285714285722</v>
      </c>
      <c r="O5" s="572">
        <f>forecast!N3</f>
        <v>75.205285714285722</v>
      </c>
      <c r="P5" s="572">
        <f>forecast!O3</f>
        <v>75.205285714285722</v>
      </c>
      <c r="Q5" s="572">
        <f>forecast!P3</f>
        <v>75.205285714285722</v>
      </c>
      <c r="R5" s="572">
        <f>forecast!Q3</f>
        <v>75.205285714285722</v>
      </c>
    </row>
    <row r="6" spans="2:18">
      <c r="B6" s="560" t="str">
        <f>forecast!A4</f>
        <v>Federal Purchases (NIPA Consistent)</v>
      </c>
      <c r="C6" s="560" t="str">
        <f>forecast!B4</f>
        <v>federal_purchases</v>
      </c>
      <c r="D6" s="572">
        <f>forecast!C4</f>
        <v>1574.4706324651618</v>
      </c>
      <c r="E6" s="572">
        <f>forecast!D4</f>
        <v>1586.3910806856957</v>
      </c>
      <c r="F6" s="572">
        <f>forecast!E4</f>
        <v>1598.4948253539787</v>
      </c>
      <c r="G6" s="572">
        <f>forecast!F4</f>
        <v>1600.4852269719188</v>
      </c>
      <c r="H6" s="572">
        <f>forecast!G4</f>
        <v>1599.8246179233195</v>
      </c>
      <c r="I6" s="572">
        <f>forecast!H4</f>
        <v>1599.9925730575819</v>
      </c>
      <c r="J6" s="572">
        <f>forecast!I4</f>
        <v>1604.2713586599725</v>
      </c>
      <c r="K6" s="572">
        <f>forecast!J4</f>
        <v>1610.249863080161</v>
      </c>
      <c r="L6" s="572">
        <f>forecast!K4</f>
        <v>1617.9041839311014</v>
      </c>
      <c r="M6" s="572">
        <f>forecast!L4</f>
        <v>1626.9012547503785</v>
      </c>
      <c r="N6" s="572">
        <f>forecast!M4</f>
        <v>1635.7763242754954</v>
      </c>
      <c r="O6" s="572">
        <f>forecast!N4</f>
        <v>1644.6998090678856</v>
      </c>
      <c r="P6" s="572">
        <f>forecast!O4</f>
        <v>1654.0763434825342</v>
      </c>
      <c r="Q6" s="572">
        <f>forecast!P4</f>
        <v>1663.0996585149583</v>
      </c>
      <c r="R6" s="572">
        <f>forecast!Q4</f>
        <v>1673.3979812645641</v>
      </c>
    </row>
    <row r="7" spans="2:18">
      <c r="B7" s="560" t="str">
        <f>forecast!A5</f>
        <v>State Purchases (NIPA Consistent)</v>
      </c>
      <c r="C7" s="560" t="str">
        <f>forecast!B5</f>
        <v>state_purchases</v>
      </c>
      <c r="D7" s="572">
        <f>forecast!C5</f>
        <v>2511.8436452174183</v>
      </c>
      <c r="E7" s="572">
        <f>forecast!D5</f>
        <v>2572.4134619069305</v>
      </c>
      <c r="F7" s="572">
        <f>forecast!E5</f>
        <v>2628.4359475389774</v>
      </c>
      <c r="G7" s="572">
        <f>forecast!F5</f>
        <v>2679.4973817692357</v>
      </c>
      <c r="H7" s="572">
        <f>forecast!G5</f>
        <v>2725.2056548484343</v>
      </c>
      <c r="I7" s="572">
        <f>forecast!H5</f>
        <v>2761.9282764357772</v>
      </c>
      <c r="J7" s="572">
        <f>forecast!I5</f>
        <v>2795.8233077203895</v>
      </c>
      <c r="K7" s="572">
        <f>forecast!J5</f>
        <v>2830.1343067749062</v>
      </c>
      <c r="L7" s="572">
        <f>forecast!K5</f>
        <v>2864.8663784533146</v>
      </c>
      <c r="M7" s="572">
        <f>forecast!L5</f>
        <v>2900.0246902575668</v>
      </c>
      <c r="N7" s="572">
        <f>forecast!M5</f>
        <v>2935.6144731064101</v>
      </c>
      <c r="O7" s="572">
        <f>forecast!N5</f>
        <v>2935.6144731064101</v>
      </c>
      <c r="P7" s="572">
        <f>forecast!O5</f>
        <v>2935.6144731064101</v>
      </c>
      <c r="Q7" s="572">
        <f>forecast!P5</f>
        <v>2935.6144731064101</v>
      </c>
      <c r="R7" s="572">
        <f>forecast!Q5</f>
        <v>2935.6144731064101</v>
      </c>
    </row>
    <row r="8" spans="2:18">
      <c r="B8" s="560" t="str">
        <f>forecast!A6</f>
        <v>Non-ARP Subsidies + ARP Provider Relief and PPP</v>
      </c>
      <c r="C8" s="560" t="str">
        <f>forecast!B6</f>
        <v>federal_subsidies</v>
      </c>
      <c r="D8" s="572">
        <f>forecast!C6</f>
        <v>684.23865117608079</v>
      </c>
      <c r="E8" s="572">
        <f>forecast!D6</f>
        <v>116.33678854309761</v>
      </c>
      <c r="F8" s="572">
        <f>forecast!E6</f>
        <v>83.047368421052624</v>
      </c>
      <c r="G8" s="572">
        <f>forecast!F6</f>
        <v>77.633834586466179</v>
      </c>
      <c r="H8" s="572">
        <f>forecast!G6</f>
        <v>77.633834586466179</v>
      </c>
      <c r="I8" s="572">
        <f>forecast!H6</f>
        <v>75.736000000000004</v>
      </c>
      <c r="J8" s="572">
        <f>forecast!I6</f>
        <v>75.736000000000004</v>
      </c>
      <c r="K8" s="572">
        <f>forecast!J6</f>
        <v>75.736000000000004</v>
      </c>
      <c r="L8" s="572">
        <f>forecast!K6</f>
        <v>75.736000000000004</v>
      </c>
      <c r="M8" s="572">
        <f>forecast!L6</f>
        <v>74.060000000000016</v>
      </c>
      <c r="N8" s="572">
        <f>forecast!M6</f>
        <v>74.060000000000016</v>
      </c>
      <c r="O8" s="572">
        <f>forecast!N6</f>
        <v>74.060000000000016</v>
      </c>
      <c r="P8" s="572">
        <f>forecast!O6</f>
        <v>74.060000000000016</v>
      </c>
      <c r="Q8" s="572">
        <f>forecast!P6</f>
        <v>77.001000000000005</v>
      </c>
      <c r="R8" s="572">
        <f>forecast!Q6</f>
        <v>77.001000000000005</v>
      </c>
    </row>
    <row r="9" spans="2:18">
      <c r="B9" s="560" t="str">
        <f>forecast!A7</f>
        <v>ARP Subsidies less Provider Relief and PPP</v>
      </c>
      <c r="C9" s="560" t="str">
        <f>forecast!B7</f>
        <v>federal_aid_to_small_businesses_arp</v>
      </c>
      <c r="D9" s="572">
        <f>forecast!C7</f>
        <v>267.78904</v>
      </c>
      <c r="E9" s="572">
        <f>forecast!D7</f>
        <v>110.24799999999999</v>
      </c>
      <c r="F9" s="572">
        <f>forecast!E7</f>
        <v>110.24799999999999</v>
      </c>
      <c r="G9" s="572">
        <f>forecast!F7</f>
        <v>110.24799999999999</v>
      </c>
      <c r="H9" s="572">
        <f>forecast!G7</f>
        <v>110.24799999999999</v>
      </c>
      <c r="I9" s="572">
        <f>forecast!H7</f>
        <v>12.726000000000001</v>
      </c>
      <c r="J9" s="572">
        <f>forecast!I7</f>
        <v>12.726000000000001</v>
      </c>
      <c r="K9" s="572">
        <f>forecast!J7</f>
        <v>12.726000000000001</v>
      </c>
      <c r="L9" s="572">
        <f>forecast!K7</f>
        <v>12.726000000000001</v>
      </c>
      <c r="M9" s="572">
        <f>forecast!L7</f>
        <v>1.365</v>
      </c>
      <c r="N9" s="572">
        <f>forecast!M7</f>
        <v>1.365</v>
      </c>
      <c r="O9" s="572">
        <f>forecast!N7</f>
        <v>1.365</v>
      </c>
      <c r="P9" s="572">
        <f>forecast!O7</f>
        <v>1.365</v>
      </c>
      <c r="Q9" s="572">
        <f>forecast!P7</f>
        <v>-0.90100000000000025</v>
      </c>
      <c r="R9" s="572">
        <f>forecast!Q7</f>
        <v>-0.90100000000000025</v>
      </c>
    </row>
    <row r="10" spans="2:18">
      <c r="B10" s="560" t="str">
        <f>forecast!A8</f>
        <v>Federal UI</v>
      </c>
      <c r="C10" s="560" t="str">
        <f>forecast!B8</f>
        <v>federal_ui</v>
      </c>
      <c r="D10" s="572">
        <f>forecast!C8</f>
        <v>393.86593314903257</v>
      </c>
      <c r="E10" s="572">
        <f>forecast!D8</f>
        <v>0</v>
      </c>
      <c r="F10" s="572">
        <f>forecast!E8</f>
        <v>0</v>
      </c>
      <c r="G10" s="572">
        <f>forecast!F8</f>
        <v>0</v>
      </c>
      <c r="H10" s="572">
        <f>forecast!G8</f>
        <v>0</v>
      </c>
      <c r="I10" s="572">
        <f>forecast!H8</f>
        <v>0</v>
      </c>
      <c r="J10" s="572">
        <f>forecast!I8</f>
        <v>0</v>
      </c>
      <c r="K10" s="572">
        <f>forecast!J8</f>
        <v>0</v>
      </c>
      <c r="L10" s="572">
        <f>forecast!K8</f>
        <v>0</v>
      </c>
      <c r="M10" s="572">
        <f>forecast!L8</f>
        <v>0</v>
      </c>
      <c r="N10" s="572">
        <f>forecast!M8</f>
        <v>0</v>
      </c>
      <c r="O10" s="572">
        <f>forecast!N8</f>
        <v>0</v>
      </c>
      <c r="P10" s="572">
        <f>forecast!O8</f>
        <v>0</v>
      </c>
      <c r="Q10" s="572">
        <f>forecast!P8</f>
        <v>0</v>
      </c>
      <c r="R10" s="572">
        <f>forecast!Q8</f>
        <v>0</v>
      </c>
    </row>
    <row r="11" spans="2:18">
      <c r="B11" s="560" t="str">
        <f>forecast!A9</f>
        <v>State UI</v>
      </c>
      <c r="C11" s="560" t="str">
        <f>forecast!B9</f>
        <v>state_ui</v>
      </c>
      <c r="D11" s="572">
        <f>forecast!C9</f>
        <v>41.434647398843964</v>
      </c>
      <c r="E11" s="572">
        <f>forecast!D9</f>
        <v>36.046109826589621</v>
      </c>
      <c r="F11" s="572">
        <f>forecast!E9</f>
        <v>32.09660115606939</v>
      </c>
      <c r="G11" s="572">
        <f>forecast!F9</f>
        <v>29.867670520231236</v>
      </c>
      <c r="H11" s="572">
        <f>forecast!G9</f>
        <v>28.796219653179211</v>
      </c>
      <c r="I11" s="572">
        <f>forecast!H9</f>
        <v>28.444283236994242</v>
      </c>
      <c r="J11" s="572">
        <f>forecast!I9</f>
        <v>28.639803468208115</v>
      </c>
      <c r="K11" s="572">
        <f>forecast!J9</f>
        <v>29.077768786127191</v>
      </c>
      <c r="L11" s="572">
        <f>forecast!K9</f>
        <v>29.52355491329482</v>
      </c>
      <c r="M11" s="572">
        <f>forecast!L9</f>
        <v>29.992803468208116</v>
      </c>
      <c r="N11" s="572">
        <f>forecast!M9</f>
        <v>30.579364161849735</v>
      </c>
      <c r="O11" s="572">
        <f>forecast!N9</f>
        <v>31.064254335260141</v>
      </c>
      <c r="P11" s="572">
        <f>forecast!O9</f>
        <v>31.447473988439334</v>
      </c>
      <c r="Q11" s="572">
        <f>forecast!P9</f>
        <v>31.924543352601184</v>
      </c>
      <c r="R11" s="572">
        <f>forecast!Q9</f>
        <v>32.385971098265927</v>
      </c>
    </row>
    <row r="12" spans="2:18">
      <c r="B12" s="560" t="str">
        <f>forecast!A10</f>
        <v>Federal Medicaid</v>
      </c>
      <c r="C12" s="560" t="str">
        <f>forecast!B10</f>
        <v>medicaid_grants</v>
      </c>
      <c r="D12" s="572">
        <f>forecast!C10</f>
        <v>539.89443411340733</v>
      </c>
      <c r="E12" s="572">
        <f>forecast!D10</f>
        <v>548.25542446994621</v>
      </c>
      <c r="F12" s="572">
        <f>forecast!E10</f>
        <v>581.74898117976795</v>
      </c>
      <c r="G12" s="572">
        <f>forecast!F10</f>
        <v>590.75814540565545</v>
      </c>
      <c r="H12" s="572">
        <f>forecast!G10</f>
        <v>544.64732294282499</v>
      </c>
      <c r="I12" s="572">
        <f>forecast!H10</f>
        <v>543.73814293006001</v>
      </c>
      <c r="J12" s="572">
        <f>forecast!I10</f>
        <v>545.38929023599587</v>
      </c>
      <c r="K12" s="572">
        <f>forecast!J10</f>
        <v>547.04545151319951</v>
      </c>
      <c r="L12" s="572">
        <f>forecast!K10</f>
        <v>548.70664198739189</v>
      </c>
      <c r="M12" s="572">
        <f>forecast!L10</f>
        <v>571.1859682769184</v>
      </c>
      <c r="N12" s="572">
        <f>forecast!M10</f>
        <v>594.58622402448964</v>
      </c>
      <c r="O12" s="572">
        <f>forecast!N10</f>
        <v>618.94513772142125</v>
      </c>
      <c r="P12" s="572">
        <f>forecast!O10</f>
        <v>644.30198351385013</v>
      </c>
      <c r="Q12" s="572">
        <f>forecast!P10</f>
        <v>670.69764452487505</v>
      </c>
      <c r="R12" s="572">
        <f>forecast!Q10</f>
        <v>698.17467877086835</v>
      </c>
    </row>
    <row r="13" spans="2:18">
      <c r="B13" s="560" t="str">
        <f>forecast!A11</f>
        <v>Total Medicaid</v>
      </c>
      <c r="C13" s="560" t="str">
        <f>forecast!B11</f>
        <v>medicaid</v>
      </c>
      <c r="D13" s="572">
        <f>forecast!C11</f>
        <v>752.5471675758439</v>
      </c>
      <c r="E13" s="572">
        <f>forecast!D11</f>
        <v>764.20137108930442</v>
      </c>
      <c r="F13" s="572">
        <f>forecast!E11</f>
        <v>776.03605559503376</v>
      </c>
      <c r="G13" s="572">
        <f>forecast!F11</f>
        <v>788.0540160835717</v>
      </c>
      <c r="H13" s="572">
        <f>forecast!G11</f>
        <v>800.25809082964031</v>
      </c>
      <c r="I13" s="572">
        <f>forecast!H11</f>
        <v>802.68820173487552</v>
      </c>
      <c r="J13" s="572">
        <f>forecast!I11</f>
        <v>805.12569205817522</v>
      </c>
      <c r="K13" s="572">
        <f>forecast!J11</f>
        <v>807.57058420831549</v>
      </c>
      <c r="L13" s="572">
        <f>forecast!K11</f>
        <v>810.02290066212015</v>
      </c>
      <c r="M13" s="572">
        <f>forecast!L11</f>
        <v>843.20778980437865</v>
      </c>
      <c r="N13" s="572">
        <f>forecast!M11</f>
        <v>877.75219219803273</v>
      </c>
      <c r="O13" s="572">
        <f>forecast!N11</f>
        <v>913.71180416536913</v>
      </c>
      <c r="P13" s="572">
        <f>forecast!O11</f>
        <v>951.14460378673266</v>
      </c>
      <c r="Q13" s="572">
        <f>forecast!P11</f>
        <v>990.11094437922668</v>
      </c>
      <c r="R13" s="572">
        <f>forecast!Q11</f>
        <v>1030.6736518050343</v>
      </c>
    </row>
    <row r="14" spans="2:18">
      <c r="B14" s="560" t="str">
        <f>forecast!A12</f>
        <v>Medicare</v>
      </c>
      <c r="C14" s="560" t="str">
        <f>forecast!B12</f>
        <v>medicare</v>
      </c>
      <c r="D14" s="572">
        <f>forecast!C12</f>
        <v>829.40291089552829</v>
      </c>
      <c r="E14" s="572">
        <f>forecast!D12</f>
        <v>843.85759747491386</v>
      </c>
      <c r="F14" s="572">
        <f>forecast!E12</f>
        <v>843.37413735570783</v>
      </c>
      <c r="G14" s="572">
        <f>forecast!F12</f>
        <v>859.18080292867467</v>
      </c>
      <c r="H14" s="572">
        <f>forecast!G12</f>
        <v>861.28301891594344</v>
      </c>
      <c r="I14" s="572">
        <f>forecast!H12</f>
        <v>877.68631147019892</v>
      </c>
      <c r="J14" s="572">
        <f>forecast!I12</f>
        <v>894.37097605549116</v>
      </c>
      <c r="K14" s="572">
        <f>forecast!J12</f>
        <v>911.36713476209957</v>
      </c>
      <c r="L14" s="572">
        <f>forecast!K12</f>
        <v>928.68060302533706</v>
      </c>
      <c r="M14" s="572">
        <f>forecast!L12</f>
        <v>946.31730485170817</v>
      </c>
      <c r="N14" s="572">
        <f>forecast!M12</f>
        <v>964.02626563984654</v>
      </c>
      <c r="O14" s="572">
        <f>forecast!N12</f>
        <v>982.06111404386252</v>
      </c>
      <c r="P14" s="572">
        <f>forecast!O12</f>
        <v>1000.427847182359</v>
      </c>
      <c r="Q14" s="572">
        <f>forecast!P12</f>
        <v>1019.1325725353943</v>
      </c>
      <c r="R14" s="572">
        <f>forecast!Q12</f>
        <v>1038.181509975399</v>
      </c>
    </row>
    <row r="15" spans="2:18">
      <c r="B15" s="560" t="str">
        <f>forecast!A13</f>
        <v>Non-ARP Rebate Checks</v>
      </c>
      <c r="C15" s="560" t="str">
        <f>forecast!B13</f>
        <v>rebate_checks</v>
      </c>
      <c r="D15" s="572">
        <f>forecast!C13</f>
        <v>0</v>
      </c>
      <c r="E15" s="572">
        <f>forecast!D13</f>
        <v>0</v>
      </c>
      <c r="F15" s="572">
        <f>forecast!E13</f>
        <v>0</v>
      </c>
      <c r="G15" s="572">
        <f>forecast!F13</f>
        <v>0</v>
      </c>
      <c r="H15" s="572">
        <f>forecast!G13</f>
        <v>0</v>
      </c>
      <c r="I15" s="572">
        <f>forecast!H13</f>
        <v>0</v>
      </c>
      <c r="J15" s="572">
        <f>forecast!I13</f>
        <v>0</v>
      </c>
      <c r="K15" s="572">
        <f>forecast!J13</f>
        <v>0</v>
      </c>
      <c r="L15" s="572">
        <f>forecast!K13</f>
        <v>0</v>
      </c>
      <c r="M15" s="572">
        <f>forecast!L13</f>
        <v>0</v>
      </c>
      <c r="N15" s="572">
        <f>forecast!M13</f>
        <v>0</v>
      </c>
      <c r="O15" s="572">
        <f>forecast!N13</f>
        <v>0</v>
      </c>
      <c r="P15" s="572">
        <f>forecast!O13</f>
        <v>0</v>
      </c>
      <c r="Q15" s="572">
        <f>forecast!P13</f>
        <v>0</v>
      </c>
      <c r="R15" s="572">
        <f>forecast!Q13</f>
        <v>0</v>
      </c>
    </row>
    <row r="16" spans="2:18">
      <c r="B16" s="560" t="str">
        <f>forecast!A14</f>
        <v>ARP Rebate Checks</v>
      </c>
      <c r="C16" s="560" t="str">
        <f>forecast!B14</f>
        <v>rebate_checks_arp</v>
      </c>
      <c r="D16" s="572">
        <f>forecast!C14</f>
        <v>0</v>
      </c>
      <c r="E16" s="572">
        <f>forecast!D14</f>
        <v>0</v>
      </c>
      <c r="F16" s="572">
        <f>forecast!E14</f>
        <v>34.93</v>
      </c>
      <c r="G16" s="572">
        <f>forecast!F14</f>
        <v>34.93</v>
      </c>
      <c r="H16" s="572">
        <f>forecast!G14</f>
        <v>0</v>
      </c>
      <c r="I16" s="572">
        <f>forecast!H14</f>
        <v>0</v>
      </c>
      <c r="J16" s="572">
        <f>forecast!I14</f>
        <v>0</v>
      </c>
      <c r="K16" s="572">
        <f>forecast!J14</f>
        <v>0</v>
      </c>
      <c r="L16" s="572">
        <f>forecast!K14</f>
        <v>0</v>
      </c>
      <c r="M16" s="572">
        <f>forecast!L14</f>
        <v>0</v>
      </c>
      <c r="N16" s="572">
        <f>forecast!M14</f>
        <v>0</v>
      </c>
      <c r="O16" s="572">
        <f>forecast!N14</f>
        <v>0</v>
      </c>
      <c r="P16" s="572">
        <f>forecast!O14</f>
        <v>0</v>
      </c>
      <c r="Q16" s="572">
        <f>forecast!P14</f>
        <v>0</v>
      </c>
      <c r="R16" s="572">
        <f>forecast!Q14</f>
        <v>0</v>
      </c>
    </row>
    <row r="17" spans="2:18">
      <c r="B17" s="560" t="str">
        <f>forecast!A15</f>
        <v>ARP Other Vulnerable</v>
      </c>
      <c r="C17" s="560" t="str">
        <f>forecast!B15</f>
        <v>federal_other_vulnerable_arp</v>
      </c>
      <c r="D17" s="572">
        <f>forecast!C15</f>
        <v>137.43936000000005</v>
      </c>
      <c r="E17" s="572">
        <f>forecast!D15</f>
        <v>52.756999999999998</v>
      </c>
      <c r="F17" s="572">
        <f>forecast!E15</f>
        <v>52.756999999999998</v>
      </c>
      <c r="G17" s="572">
        <f>forecast!F15</f>
        <v>52.756999999999998</v>
      </c>
      <c r="H17" s="572">
        <f>forecast!G15</f>
        <v>52.756999999999998</v>
      </c>
      <c r="I17" s="572">
        <f>forecast!H15</f>
        <v>12</v>
      </c>
      <c r="J17" s="572">
        <f>forecast!I15</f>
        <v>12</v>
      </c>
      <c r="K17" s="572">
        <f>forecast!J15</f>
        <v>12</v>
      </c>
      <c r="L17" s="572">
        <f>forecast!K15</f>
        <v>12</v>
      </c>
      <c r="M17" s="572">
        <f>forecast!L15</f>
        <v>4.2219999999999995</v>
      </c>
      <c r="N17" s="572">
        <f>forecast!M15</f>
        <v>4.2219999999999995</v>
      </c>
      <c r="O17" s="572">
        <f>forecast!N15</f>
        <v>4.2219999999999995</v>
      </c>
      <c r="P17" s="572">
        <f>forecast!O15</f>
        <v>4.2219999999999995</v>
      </c>
      <c r="Q17" s="572">
        <f>forecast!P15</f>
        <v>2.3719999999999999</v>
      </c>
      <c r="R17" s="572">
        <f>forecast!Q15</f>
        <v>2.3719999999999999</v>
      </c>
    </row>
    <row r="18" spans="2:18">
      <c r="B18" s="560" t="str">
        <f>forecast!A16</f>
        <v>ARP Other Direct Aid</v>
      </c>
      <c r="C18" s="560" t="str">
        <f>forecast!B16</f>
        <v>federal_other_direct_aid_arp</v>
      </c>
      <c r="D18" s="572">
        <f>forecast!C16</f>
        <v>106.5440000000001</v>
      </c>
      <c r="E18" s="572">
        <f>forecast!D16</f>
        <v>98.978999999999999</v>
      </c>
      <c r="F18" s="572">
        <f>forecast!E16</f>
        <v>98.978999999999999</v>
      </c>
      <c r="G18" s="572">
        <f>forecast!F16</f>
        <v>98.978999999999999</v>
      </c>
      <c r="H18" s="572">
        <f>forecast!G16</f>
        <v>98.978999999999999</v>
      </c>
      <c r="I18" s="572">
        <f>forecast!H16</f>
        <v>2.1159999999999997</v>
      </c>
      <c r="J18" s="572">
        <f>forecast!I16</f>
        <v>2.1159999999999997</v>
      </c>
      <c r="K18" s="572">
        <f>forecast!J16</f>
        <v>2.1159999999999997</v>
      </c>
      <c r="L18" s="572">
        <f>forecast!K16</f>
        <v>2.1159999999999997</v>
      </c>
      <c r="M18" s="572">
        <f>forecast!L16</f>
        <v>2.1789999999999998</v>
      </c>
      <c r="N18" s="572">
        <f>forecast!M16</f>
        <v>2.1789999999999998</v>
      </c>
      <c r="O18" s="572">
        <f>forecast!N16</f>
        <v>2.1789999999999998</v>
      </c>
      <c r="P18" s="572">
        <f>forecast!O16</f>
        <v>2.1789999999999998</v>
      </c>
      <c r="Q18" s="572">
        <f>forecast!P16</f>
        <v>2.33</v>
      </c>
      <c r="R18" s="572">
        <f>forecast!Q16</f>
        <v>2.33</v>
      </c>
    </row>
    <row r="19" spans="2:18">
      <c r="B19" s="560" t="str">
        <f>forecast!A17</f>
        <v>Other Federal Social Benefits (including all SNAP)</v>
      </c>
      <c r="C19" s="560" t="str">
        <f>forecast!B17</f>
        <v>federal_social_benefits</v>
      </c>
      <c r="D19" s="572">
        <f>forecast!C17</f>
        <v>1692.5000000000009</v>
      </c>
      <c r="E19" s="572">
        <f>forecast!D17</f>
        <v>1669.600000000001</v>
      </c>
      <c r="F19" s="572">
        <f>forecast!E17</f>
        <v>1710.3262120071224</v>
      </c>
      <c r="G19" s="572">
        <f>forecast!F17</f>
        <v>1712.4262120071226</v>
      </c>
      <c r="H19" s="572">
        <f>forecast!G17</f>
        <v>1704.5262120071227</v>
      </c>
      <c r="I19" s="572">
        <f>forecast!H17</f>
        <v>1706.6262120071228</v>
      </c>
      <c r="J19" s="572">
        <f>forecast!I17</f>
        <v>1783.9785508694649</v>
      </c>
      <c r="K19" s="572">
        <f>forecast!J17</f>
        <v>1791.0785508694651</v>
      </c>
      <c r="L19" s="572">
        <f>forecast!K17</f>
        <v>1798.1785508694652</v>
      </c>
      <c r="M19" s="572">
        <f>forecast!L17</f>
        <v>1805.2785508694653</v>
      </c>
      <c r="N19" s="572">
        <f>forecast!M17</f>
        <v>1878.701320206336</v>
      </c>
      <c r="O19" s="572">
        <f>forecast!N17</f>
        <v>1885.8013202063362</v>
      </c>
      <c r="P19" s="572">
        <f>forecast!O17</f>
        <v>1892.9013202063363</v>
      </c>
      <c r="Q19" s="572">
        <f>forecast!P17</f>
        <v>1900.0013202063365</v>
      </c>
      <c r="R19" s="572">
        <f>forecast!Q17</f>
        <v>1907.1013202063366</v>
      </c>
    </row>
    <row r="20" spans="2:18">
      <c r="B20" s="560" t="str">
        <f>forecast!A18</f>
        <v>State Social Benefits ex Medicaid</v>
      </c>
      <c r="C20" s="560" t="str">
        <f>forecast!B18</f>
        <v>state_social_benefits</v>
      </c>
      <c r="D20" s="572">
        <f>forecast!C18</f>
        <v>156.86404345185662</v>
      </c>
      <c r="E20" s="572">
        <f>forecast!D18</f>
        <v>158.75050405203845</v>
      </c>
      <c r="F20" s="572">
        <f>forecast!E18</f>
        <v>160.65965139111677</v>
      </c>
      <c r="G20" s="572">
        <f>forecast!F18</f>
        <v>162.59175830178242</v>
      </c>
      <c r="H20" s="572">
        <f>forecast!G18</f>
        <v>164.54710089783592</v>
      </c>
      <c r="I20" s="572">
        <f>forecast!H18</f>
        <v>166.52595861364625</v>
      </c>
      <c r="J20" s="572">
        <f>forecast!I18</f>
        <v>168.52861424408439</v>
      </c>
      <c r="K20" s="572">
        <f>forecast!J18</f>
        <v>170.555353984937</v>
      </c>
      <c r="L20" s="572">
        <f>forecast!K18</f>
        <v>172.60646747380608</v>
      </c>
      <c r="M20" s="572">
        <f>forecast!L18</f>
        <v>174.68224783150058</v>
      </c>
      <c r="N20" s="572">
        <f>forecast!M18</f>
        <v>176.78299170392575</v>
      </c>
      <c r="O20" s="572">
        <f>forecast!N18</f>
        <v>178.90899930447623</v>
      </c>
      <c r="P20" s="572">
        <f>forecast!O18</f>
        <v>181.06057445693898</v>
      </c>
      <c r="Q20" s="572">
        <f>forecast!P18</f>
        <v>183.23802463891224</v>
      </c>
      <c r="R20" s="572">
        <f>forecast!Q18</f>
        <v>185.44166102574647</v>
      </c>
    </row>
    <row r="21" spans="2:18">
      <c r="B21" s="560" t="str">
        <f>forecast!A19</f>
        <v>Federal Non-Corporate Taxes</v>
      </c>
      <c r="C21" s="560" t="str">
        <f>forecast!B19</f>
        <v>federal_non_corporate_taxes</v>
      </c>
      <c r="D21" s="572">
        <f>forecast!C19</f>
        <v>3702.7279180746473</v>
      </c>
      <c r="E21" s="572">
        <f>forecast!D19</f>
        <v>3753.1986685626935</v>
      </c>
      <c r="F21" s="572">
        <f>forecast!E19</f>
        <v>3789.474466066139</v>
      </c>
      <c r="G21" s="572">
        <f>forecast!F19</f>
        <v>3839.6232913716235</v>
      </c>
      <c r="H21" s="572">
        <f>forecast!G19</f>
        <v>3885.73396048325</v>
      </c>
      <c r="I21" s="572">
        <f>forecast!H19</f>
        <v>3928.7228259014305</v>
      </c>
      <c r="J21" s="572">
        <f>forecast!I19</f>
        <v>3963.2082474974463</v>
      </c>
      <c r="K21" s="572">
        <f>forecast!J19</f>
        <v>4002.0105959242255</v>
      </c>
      <c r="L21" s="572">
        <f>forecast!K19</f>
        <v>4040.4862419569254</v>
      </c>
      <c r="M21" s="572">
        <f>forecast!L19</f>
        <v>4078.1458539417649</v>
      </c>
      <c r="N21" s="572">
        <f>forecast!M19</f>
        <v>4114.5364253800335</v>
      </c>
      <c r="O21" s="572">
        <f>forecast!N19</f>
        <v>4150.5791355082993</v>
      </c>
      <c r="P21" s="572">
        <f>forecast!O19</f>
        <v>4188.264463641015</v>
      </c>
      <c r="Q21" s="572">
        <f>forecast!P19</f>
        <v>4225.9780741350496</v>
      </c>
      <c r="R21" s="572">
        <f>forecast!Q19</f>
        <v>4264.7804553946153</v>
      </c>
    </row>
    <row r="22" spans="2:18">
      <c r="B22" s="560" t="str">
        <f>forecast!A20</f>
        <v>State Non-Corporate Taxes</v>
      </c>
      <c r="C22" s="560" t="str">
        <f>forecast!B20</f>
        <v>state_non_corporate_taxes</v>
      </c>
      <c r="D22" s="572">
        <f>forecast!C20</f>
        <v>2164.4482919103875</v>
      </c>
      <c r="E22" s="572">
        <f>forecast!D20</f>
        <v>2194.3223121532637</v>
      </c>
      <c r="F22" s="572">
        <f>forecast!E20</f>
        <v>2224.5413720016322</v>
      </c>
      <c r="G22" s="572">
        <f>forecast!F20</f>
        <v>2253.7176920087013</v>
      </c>
      <c r="H22" s="572">
        <f>forecast!G20</f>
        <v>2284.0426377976205</v>
      </c>
      <c r="I22" s="572">
        <f>forecast!H20</f>
        <v>2311.8513323667312</v>
      </c>
      <c r="J22" s="572">
        <f>forecast!I20</f>
        <v>2336.816532152634</v>
      </c>
      <c r="K22" s="572">
        <f>forecast!J20</f>
        <v>2360.4098395562496</v>
      </c>
      <c r="L22" s="572">
        <f>forecast!K20</f>
        <v>2383.8947046963863</v>
      </c>
      <c r="M22" s="572">
        <f>forecast!L20</f>
        <v>2406.1925927068878</v>
      </c>
      <c r="N22" s="572">
        <f>forecast!M20</f>
        <v>2427.4681701856962</v>
      </c>
      <c r="O22" s="572">
        <f>forecast!N20</f>
        <v>2448.7029333186206</v>
      </c>
      <c r="P22" s="572">
        <f>forecast!O20</f>
        <v>2470.8658012154724</v>
      </c>
      <c r="Q22" s="572">
        <f>forecast!P20</f>
        <v>2492.091879620777</v>
      </c>
      <c r="R22" s="572">
        <f>forecast!Q20</f>
        <v>2514.7144630554176</v>
      </c>
    </row>
    <row r="23" spans="2:18">
      <c r="B23" s="560" t="str">
        <f>forecast!A21</f>
        <v>Federal Corporate Taxes</v>
      </c>
      <c r="C23" s="560" t="str">
        <f>forecast!B21</f>
        <v>federal_corporate_taxes</v>
      </c>
      <c r="D23" s="572">
        <f>forecast!C21</f>
        <v>275.36144578313252</v>
      </c>
      <c r="E23" s="572">
        <f>forecast!D21</f>
        <v>278.50843373493979</v>
      </c>
      <c r="F23" s="572">
        <f>forecast!E21</f>
        <v>331.9957125021694</v>
      </c>
      <c r="G23" s="572">
        <f>forecast!F21</f>
        <v>337.72752744381148</v>
      </c>
      <c r="H23" s="572">
        <f>forecast!G21</f>
        <v>339.30096683955634</v>
      </c>
      <c r="I23" s="572">
        <f>forecast!H21</f>
        <v>339.07618978302133</v>
      </c>
      <c r="J23" s="572">
        <f>forecast!I21</f>
        <v>337.39036185900898</v>
      </c>
      <c r="K23" s="572">
        <f>forecast!J21</f>
        <v>334.46826012405421</v>
      </c>
      <c r="L23" s="572">
        <f>forecast!K21</f>
        <v>332.67004367177435</v>
      </c>
      <c r="M23" s="572">
        <f>forecast!L21</f>
        <v>332.67004367177435</v>
      </c>
      <c r="N23" s="572">
        <f>forecast!M21</f>
        <v>332.1755341473974</v>
      </c>
      <c r="O23" s="572">
        <f>forecast!N21</f>
        <v>333.80516780727601</v>
      </c>
      <c r="P23" s="572">
        <f>forecast!O21</f>
        <v>335.18754670496617</v>
      </c>
      <c r="Q23" s="572">
        <f>forecast!P21</f>
        <v>337.08691283268678</v>
      </c>
      <c r="R23" s="572">
        <f>forecast!Q21</f>
        <v>337.99725991165343</v>
      </c>
    </row>
    <row r="24" spans="2:18">
      <c r="B24" s="560" t="str">
        <f>forecast!A22</f>
        <v>State Corporate Taxes</v>
      </c>
      <c r="C24" s="560" t="str">
        <f>forecast!B22</f>
        <v>state_corporate_taxes</v>
      </c>
      <c r="D24" s="572">
        <f>forecast!C22</f>
        <v>119.87954743783622</v>
      </c>
      <c r="E24" s="572">
        <f>forecast!D22</f>
        <v>121.24959940855436</v>
      </c>
      <c r="F24" s="572">
        <f>forecast!E22</f>
        <v>119.03333886768679</v>
      </c>
      <c r="G24" s="572">
        <f>forecast!F22</f>
        <v>121.08841682376399</v>
      </c>
      <c r="H24" s="572">
        <f>forecast!G22</f>
        <v>121.65255587053028</v>
      </c>
      <c r="I24" s="572">
        <f>forecast!H22</f>
        <v>121.57196457813509</v>
      </c>
      <c r="J24" s="572">
        <f>forecast!I22</f>
        <v>120.96752988517122</v>
      </c>
      <c r="K24" s="572">
        <f>forecast!J22</f>
        <v>119.91984308403381</v>
      </c>
      <c r="L24" s="572">
        <f>forecast!K22</f>
        <v>119.27511274487235</v>
      </c>
      <c r="M24" s="572">
        <f>forecast!L22</f>
        <v>119.27511274487235</v>
      </c>
      <c r="N24" s="572">
        <f>forecast!M22</f>
        <v>119.09781190160294</v>
      </c>
      <c r="O24" s="572">
        <f>forecast!N22</f>
        <v>119.68209877146802</v>
      </c>
      <c r="P24" s="572">
        <f>forecast!O22</f>
        <v>120.17773521969842</v>
      </c>
      <c r="Q24" s="572">
        <f>forecast!P22</f>
        <v>120.85873164043772</v>
      </c>
      <c r="R24" s="572">
        <f>forecast!Q22</f>
        <v>121.18512637463822</v>
      </c>
    </row>
    <row r="25" spans="2:18">
      <c r="B25" s="560"/>
      <c r="C25" s="560"/>
      <c r="D25" s="560"/>
      <c r="E25" s="560"/>
      <c r="F25" s="560"/>
      <c r="G25" s="560"/>
      <c r="H25" s="560"/>
      <c r="I25" s="560"/>
      <c r="J25" s="560"/>
      <c r="K25" s="560"/>
      <c r="L25" s="560"/>
      <c r="M25" s="560"/>
      <c r="N25" s="560"/>
      <c r="O25" s="560"/>
    </row>
    <row r="26" spans="2:18">
      <c r="B26" s="560"/>
      <c r="C26" s="560"/>
      <c r="D26" s="560"/>
      <c r="E26" s="560"/>
      <c r="F26" s="560"/>
      <c r="G26" s="560"/>
      <c r="H26" s="560"/>
      <c r="I26" s="560"/>
      <c r="J26" s="560"/>
      <c r="K26" s="560"/>
      <c r="L26" s="560"/>
      <c r="M26" s="560"/>
      <c r="N26" s="560"/>
      <c r="O26" s="560"/>
    </row>
    <row r="27" spans="2:18">
      <c r="B27" s="1342" t="s">
        <v>1212</v>
      </c>
      <c r="C27" s="1342"/>
      <c r="D27" s="1342"/>
      <c r="E27" s="1342"/>
      <c r="F27" s="1342"/>
      <c r="G27" s="1342"/>
      <c r="H27" s="1342"/>
      <c r="I27" s="1342"/>
      <c r="J27" s="1342"/>
      <c r="K27" s="1342"/>
      <c r="L27" s="1342"/>
      <c r="M27" s="1342"/>
      <c r="N27" s="1342"/>
      <c r="O27" s="1342"/>
      <c r="P27" s="1342"/>
      <c r="Q27" s="1342"/>
      <c r="R27" s="1342"/>
    </row>
    <row r="28" spans="2:18">
      <c r="B28" s="560" t="s">
        <v>629</v>
      </c>
      <c r="C28" s="560" t="s">
        <v>628</v>
      </c>
      <c r="D28" s="560" t="s">
        <v>153</v>
      </c>
      <c r="E28" s="560" t="s">
        <v>154</v>
      </c>
      <c r="F28" s="560" t="s">
        <v>155</v>
      </c>
      <c r="G28" s="560" t="s">
        <v>156</v>
      </c>
      <c r="H28" s="560" t="s">
        <v>157</v>
      </c>
      <c r="I28" s="560" t="s">
        <v>158</v>
      </c>
      <c r="J28" s="560" t="s">
        <v>159</v>
      </c>
      <c r="K28" s="560" t="s">
        <v>160</v>
      </c>
      <c r="L28" s="560" t="s">
        <v>161</v>
      </c>
      <c r="M28" s="560" t="s">
        <v>162</v>
      </c>
      <c r="N28" s="560" t="s">
        <v>163</v>
      </c>
      <c r="O28" s="560" t="s">
        <v>164</v>
      </c>
      <c r="P28" s="560" t="s">
        <v>165</v>
      </c>
      <c r="Q28" s="560" t="s">
        <v>166</v>
      </c>
      <c r="R28" s="560" t="s">
        <v>167</v>
      </c>
    </row>
    <row r="29" spans="2:18">
      <c r="B29" s="560" t="s">
        <v>0</v>
      </c>
      <c r="C29" s="560" t="s">
        <v>609</v>
      </c>
      <c r="D29" s="572">
        <v>357.37317644110277</v>
      </c>
      <c r="E29" s="572">
        <v>393.13708782957406</v>
      </c>
      <c r="F29" s="572">
        <v>401.59684440561404</v>
      </c>
      <c r="G29" s="572">
        <v>419.69377636126723</v>
      </c>
      <c r="H29" s="572">
        <v>438.34081535917659</v>
      </c>
      <c r="I29" s="572">
        <v>458.27990750346845</v>
      </c>
      <c r="J29" s="572">
        <v>478.97760180360723</v>
      </c>
      <c r="K29" s="572">
        <v>471.71644350775153</v>
      </c>
      <c r="L29" s="572">
        <v>479.39300748806158</v>
      </c>
      <c r="M29" s="572">
        <v>492.73634954758404</v>
      </c>
      <c r="N29" s="572">
        <v>481.54983616948743</v>
      </c>
      <c r="O29" s="1225">
        <v>473.87554213626697</v>
      </c>
      <c r="P29" s="1225">
        <v>489.00698046171772</v>
      </c>
      <c r="Q29" s="1225">
        <v>503.86304218018643</v>
      </c>
      <c r="R29" s="1225">
        <v>511.23178213939389</v>
      </c>
    </row>
    <row r="30" spans="2:18">
      <c r="B30" s="560" t="s">
        <v>6</v>
      </c>
      <c r="C30" s="560" t="s">
        <v>608</v>
      </c>
      <c r="D30" s="572">
        <v>75.205285714285722</v>
      </c>
      <c r="E30" s="572">
        <v>75.205285714285722</v>
      </c>
      <c r="F30" s="572">
        <v>75.205285714285722</v>
      </c>
      <c r="G30" s="572">
        <v>75.205285714285722</v>
      </c>
      <c r="H30" s="572">
        <v>75.205285714285722</v>
      </c>
      <c r="I30" s="572">
        <v>75.205285714285722</v>
      </c>
      <c r="J30" s="572">
        <v>75.205285714285722</v>
      </c>
      <c r="K30" s="572">
        <v>75.205285714285722</v>
      </c>
      <c r="L30" s="572">
        <v>75.205285714285722</v>
      </c>
      <c r="M30" s="572">
        <v>75.205285714285722</v>
      </c>
      <c r="N30" s="572">
        <v>75.205285714285722</v>
      </c>
      <c r="O30" s="1225">
        <v>75.205285714285722</v>
      </c>
      <c r="P30" s="1225">
        <v>75.205285714285722</v>
      </c>
      <c r="Q30" s="1225">
        <v>75.205285714285722</v>
      </c>
      <c r="R30" s="1225">
        <v>75.205285714285722</v>
      </c>
    </row>
    <row r="31" spans="2:18">
      <c r="B31" s="560" t="s">
        <v>459</v>
      </c>
      <c r="C31" s="560" t="s">
        <v>604</v>
      </c>
      <c r="D31" s="572">
        <v>1574.7727761290391</v>
      </c>
      <c r="E31" s="572">
        <v>1586.6955119044035</v>
      </c>
      <c r="F31" s="572">
        <v>1598.8015793024251</v>
      </c>
      <c r="G31" s="572">
        <v>1600.7923628819117</v>
      </c>
      <c r="H31" s="572">
        <v>1600.1316270612824</v>
      </c>
      <c r="I31" s="572">
        <v>1600.2996144264284</v>
      </c>
      <c r="J31" s="572">
        <v>1604.5792211352482</v>
      </c>
      <c r="K31" s="572">
        <v>1610.5588728408752</v>
      </c>
      <c r="L31" s="572">
        <v>1618.2146625693535</v>
      </c>
      <c r="M31" s="572">
        <v>1627.2134599422325</v>
      </c>
      <c r="N31" s="572">
        <v>1636.0902326086898</v>
      </c>
      <c r="O31" s="1225">
        <v>1645.0154298333946</v>
      </c>
      <c r="P31" s="1225">
        <v>1654.3937636213718</v>
      </c>
      <c r="Q31" s="1225">
        <v>1663.4188102437081</v>
      </c>
      <c r="R31" s="1225">
        <v>1673.7191092594337</v>
      </c>
    </row>
    <row r="32" spans="2:18">
      <c r="B32" s="560" t="s">
        <v>460</v>
      </c>
      <c r="C32" s="560" t="s">
        <v>605</v>
      </c>
      <c r="D32" s="572">
        <v>2514.6087521779468</v>
      </c>
      <c r="E32" s="572">
        <v>2575.2452457969903</v>
      </c>
      <c r="F32" s="572">
        <v>2631.3294025307641</v>
      </c>
      <c r="G32" s="572">
        <v>2682.4470466001471</v>
      </c>
      <c r="H32" s="572">
        <v>2728.2056366106108</v>
      </c>
      <c r="I32" s="572">
        <v>2764.9686834755198</v>
      </c>
      <c r="J32" s="572">
        <v>2798.9010273480835</v>
      </c>
      <c r="K32" s="572">
        <v>2833.2497968993785</v>
      </c>
      <c r="L32" s="572">
        <v>2868.0201026029558</v>
      </c>
      <c r="M32" s="572">
        <v>2903.2171176492966</v>
      </c>
      <c r="N32" s="572">
        <v>2938.8460787154886</v>
      </c>
      <c r="O32" s="1225">
        <v>2938.8460787154886</v>
      </c>
      <c r="P32" s="1225">
        <v>2938.8460787154886</v>
      </c>
      <c r="Q32" s="1225">
        <v>2938.8460787154886</v>
      </c>
      <c r="R32" s="1225">
        <v>2938.8460787154886</v>
      </c>
    </row>
    <row r="33" spans="2:18">
      <c r="B33" s="560" t="s">
        <v>570</v>
      </c>
      <c r="C33" s="560" t="s">
        <v>612</v>
      </c>
      <c r="D33" s="572">
        <v>684.23865117608079</v>
      </c>
      <c r="E33" s="572">
        <v>116.33678854309761</v>
      </c>
      <c r="F33" s="572">
        <v>83.047368421052624</v>
      </c>
      <c r="G33" s="572">
        <v>77.633834586466179</v>
      </c>
      <c r="H33" s="572">
        <v>77.633834586466179</v>
      </c>
      <c r="I33" s="572">
        <v>75.736000000000004</v>
      </c>
      <c r="J33" s="572">
        <v>75.736000000000004</v>
      </c>
      <c r="K33" s="572">
        <v>75.736000000000004</v>
      </c>
      <c r="L33" s="572">
        <v>75.736000000000004</v>
      </c>
      <c r="M33" s="572">
        <v>74.060000000000016</v>
      </c>
      <c r="N33" s="572">
        <v>74.060000000000016</v>
      </c>
      <c r="O33" s="1225">
        <v>74.060000000000016</v>
      </c>
      <c r="P33" s="1225">
        <v>74.060000000000016</v>
      </c>
      <c r="Q33" s="1225">
        <v>77.001000000000005</v>
      </c>
      <c r="R33" s="1225">
        <v>77.001000000000005</v>
      </c>
    </row>
    <row r="34" spans="2:18">
      <c r="B34" s="560" t="s">
        <v>611</v>
      </c>
      <c r="C34" s="560" t="s">
        <v>613</v>
      </c>
      <c r="D34" s="572">
        <v>267.78904</v>
      </c>
      <c r="E34" s="572">
        <v>110.24799999999999</v>
      </c>
      <c r="F34" s="572">
        <v>110.24799999999999</v>
      </c>
      <c r="G34" s="572">
        <v>110.24799999999999</v>
      </c>
      <c r="H34" s="572">
        <v>110.24799999999999</v>
      </c>
      <c r="I34" s="572">
        <v>12.726000000000001</v>
      </c>
      <c r="J34" s="572">
        <v>12.726000000000001</v>
      </c>
      <c r="K34" s="572">
        <v>12.726000000000001</v>
      </c>
      <c r="L34" s="572">
        <v>12.726000000000001</v>
      </c>
      <c r="M34" s="572">
        <v>1.365</v>
      </c>
      <c r="N34" s="572">
        <v>1.365</v>
      </c>
      <c r="O34" s="1225">
        <v>1.365</v>
      </c>
      <c r="P34" s="1225">
        <v>1.365</v>
      </c>
      <c r="Q34" s="1225">
        <v>-0.90100000000000025</v>
      </c>
      <c r="R34" s="1225">
        <v>-0.90100000000000025</v>
      </c>
    </row>
    <row r="35" spans="2:18">
      <c r="B35" s="560" t="s">
        <v>133</v>
      </c>
      <c r="C35" s="560" t="s">
        <v>606</v>
      </c>
      <c r="D35" s="572">
        <v>395.42777129932153</v>
      </c>
      <c r="E35" s="572">
        <v>0</v>
      </c>
      <c r="F35" s="572">
        <v>0</v>
      </c>
      <c r="G35" s="572">
        <v>0</v>
      </c>
      <c r="H35" s="572">
        <v>0</v>
      </c>
      <c r="I35" s="572">
        <v>0</v>
      </c>
      <c r="J35" s="572">
        <v>0</v>
      </c>
      <c r="K35" s="572">
        <v>0</v>
      </c>
      <c r="L35" s="572">
        <v>0</v>
      </c>
      <c r="M35" s="572">
        <v>0</v>
      </c>
      <c r="N35" s="572">
        <v>0</v>
      </c>
      <c r="O35" s="1225">
        <v>0</v>
      </c>
      <c r="P35" s="1225">
        <v>0</v>
      </c>
      <c r="Q35" s="1225">
        <v>0</v>
      </c>
      <c r="R35" s="1225">
        <v>0</v>
      </c>
    </row>
    <row r="36" spans="2:18">
      <c r="B36" t="s">
        <v>134</v>
      </c>
      <c r="C36" t="s">
        <v>607</v>
      </c>
      <c r="D36" s="572">
        <v>41.342774566473992</v>
      </c>
      <c r="E36" s="572">
        <v>35.966184971098265</v>
      </c>
      <c r="F36" s="572">
        <v>32.025433526011561</v>
      </c>
      <c r="G36" s="572">
        <v>29.801445086705204</v>
      </c>
      <c r="H36" s="572">
        <v>28.732369942196534</v>
      </c>
      <c r="I36" s="572">
        <v>28.381213872832372</v>
      </c>
      <c r="J36" s="572">
        <v>28.576300578034683</v>
      </c>
      <c r="K36" s="572">
        <v>29.013294797687863</v>
      </c>
      <c r="L36" s="572">
        <v>29.458092485549134</v>
      </c>
      <c r="M36" s="572">
        <v>29.926300578034681</v>
      </c>
      <c r="N36" s="572">
        <v>30.511560693641616</v>
      </c>
      <c r="O36" s="1225">
        <v>30.995375722543347</v>
      </c>
      <c r="P36" s="1225">
        <v>31.37774566473988</v>
      </c>
      <c r="Q36" s="1225">
        <v>31.853757225433522</v>
      </c>
      <c r="R36" s="1225">
        <v>32.314161849710985</v>
      </c>
    </row>
    <row r="37" spans="2:18">
      <c r="B37" t="s">
        <v>140</v>
      </c>
      <c r="C37" t="s">
        <v>610</v>
      </c>
      <c r="D37" s="572">
        <v>538.64892282312417</v>
      </c>
      <c r="E37" s="572">
        <v>548.03400135086122</v>
      </c>
      <c r="F37" s="572">
        <v>565.11425979213379</v>
      </c>
      <c r="G37" s="572">
        <v>574.96045363114888</v>
      </c>
      <c r="H37" s="572">
        <v>531.10958787788104</v>
      </c>
      <c r="I37" s="572">
        <v>530.1472057250694</v>
      </c>
      <c r="J37" s="572">
        <v>531.75708198970915</v>
      </c>
      <c r="K37" s="572">
        <v>533.37184689953915</v>
      </c>
      <c r="L37" s="572">
        <v>534.99151529970777</v>
      </c>
      <c r="M37" s="572">
        <v>556.90896246417401</v>
      </c>
      <c r="N37" s="572">
        <v>579.72432011220758</v>
      </c>
      <c r="O37" s="1225">
        <v>603.474373697445</v>
      </c>
      <c r="P37" s="1225">
        <v>628.19741569412679</v>
      </c>
      <c r="Q37" s="1225">
        <v>653.93330733647747</v>
      </c>
      <c r="R37" s="1225">
        <v>680.72354288741451</v>
      </c>
    </row>
    <row r="38" spans="2:18">
      <c r="B38" t="s">
        <v>139</v>
      </c>
      <c r="C38" t="s">
        <v>73</v>
      </c>
      <c r="D38" s="572">
        <v>728.03463711968732</v>
      </c>
      <c r="E38" s="572">
        <v>740.71945268465686</v>
      </c>
      <c r="F38" s="572">
        <v>753.62528046211378</v>
      </c>
      <c r="G38" s="572">
        <v>766.75597122921909</v>
      </c>
      <c r="H38" s="572">
        <v>780.11544285664218</v>
      </c>
      <c r="I38" s="572">
        <v>782.48438740934637</v>
      </c>
      <c r="J38" s="572">
        <v>784.8605256387624</v>
      </c>
      <c r="K38" s="572">
        <v>787.24387938963309</v>
      </c>
      <c r="L38" s="572">
        <v>789.63447057303631</v>
      </c>
      <c r="M38" s="572">
        <v>821.98408975967027</v>
      </c>
      <c r="N38" s="572">
        <v>855.65900299123211</v>
      </c>
      <c r="O38" s="1225">
        <v>890.7135047030099</v>
      </c>
      <c r="P38" s="1225">
        <v>927.2041136560664</v>
      </c>
      <c r="Q38" s="1225">
        <v>965.18966406306311</v>
      </c>
      <c r="R38" s="1225">
        <v>1004.7314004473125</v>
      </c>
    </row>
    <row r="39" spans="2:18">
      <c r="B39" t="s">
        <v>385</v>
      </c>
      <c r="C39" t="s">
        <v>74</v>
      </c>
      <c r="D39" s="572">
        <v>829.40291089552829</v>
      </c>
      <c r="E39" s="572">
        <v>843.85759747491386</v>
      </c>
      <c r="F39" s="572">
        <v>843.37413735570783</v>
      </c>
      <c r="G39" s="572">
        <v>859.18080292867467</v>
      </c>
      <c r="H39" s="572">
        <v>861.28301891594344</v>
      </c>
      <c r="I39" s="572">
        <v>877.68631147019892</v>
      </c>
      <c r="J39" s="572">
        <v>894.37097605549116</v>
      </c>
      <c r="K39" s="572">
        <v>911.36713476209957</v>
      </c>
      <c r="L39" s="572">
        <v>928.68060302533706</v>
      </c>
      <c r="M39" s="572">
        <v>946.31730485170817</v>
      </c>
      <c r="N39" s="572">
        <v>964.02626563984654</v>
      </c>
      <c r="O39" s="1225">
        <v>982.06111404386252</v>
      </c>
      <c r="P39" s="1225">
        <v>1000.427847182359</v>
      </c>
      <c r="Q39" s="1225">
        <v>1019.1325725353943</v>
      </c>
      <c r="R39" s="1225">
        <v>1038.181509975399</v>
      </c>
    </row>
    <row r="40" spans="2:18">
      <c r="B40" t="s">
        <v>463</v>
      </c>
      <c r="C40" t="s">
        <v>618</v>
      </c>
      <c r="D40" s="572">
        <v>0</v>
      </c>
      <c r="E40" s="572">
        <v>0</v>
      </c>
      <c r="F40" s="572">
        <v>0</v>
      </c>
      <c r="G40" s="572">
        <v>0</v>
      </c>
      <c r="H40" s="572">
        <v>0</v>
      </c>
      <c r="I40" s="572">
        <v>0</v>
      </c>
      <c r="J40" s="572">
        <v>0</v>
      </c>
      <c r="K40" s="572">
        <v>0</v>
      </c>
      <c r="L40" s="572">
        <v>0</v>
      </c>
      <c r="M40" s="572">
        <v>0</v>
      </c>
      <c r="N40" s="572">
        <v>0</v>
      </c>
      <c r="O40" s="1225">
        <v>0</v>
      </c>
      <c r="P40" s="1225">
        <v>0</v>
      </c>
      <c r="Q40" s="1225">
        <v>0</v>
      </c>
      <c r="R40" s="1225">
        <v>0</v>
      </c>
    </row>
    <row r="41" spans="2:18">
      <c r="B41" t="s">
        <v>464</v>
      </c>
      <c r="C41" t="s">
        <v>619</v>
      </c>
      <c r="D41" s="572">
        <v>0</v>
      </c>
      <c r="E41" s="572">
        <v>0</v>
      </c>
      <c r="F41" s="572">
        <v>34.93</v>
      </c>
      <c r="G41" s="572">
        <v>34.93</v>
      </c>
      <c r="H41" s="572">
        <v>0</v>
      </c>
      <c r="I41" s="572">
        <v>0</v>
      </c>
      <c r="J41" s="572">
        <v>0</v>
      </c>
      <c r="K41" s="572">
        <v>0</v>
      </c>
      <c r="L41" s="572">
        <v>0</v>
      </c>
      <c r="M41" s="572">
        <v>0</v>
      </c>
      <c r="N41" s="572">
        <v>0</v>
      </c>
      <c r="O41" s="1225">
        <v>0</v>
      </c>
      <c r="P41" s="1225">
        <v>0</v>
      </c>
      <c r="Q41" s="1225">
        <v>0</v>
      </c>
      <c r="R41" s="1225">
        <v>0</v>
      </c>
    </row>
    <row r="42" spans="2:18">
      <c r="B42" t="s">
        <v>461</v>
      </c>
      <c r="C42" t="s">
        <v>617</v>
      </c>
      <c r="D42" s="572">
        <v>137.43936000000005</v>
      </c>
      <c r="E42" s="572">
        <v>52.756999999999998</v>
      </c>
      <c r="F42" s="572">
        <v>52.756999999999998</v>
      </c>
      <c r="G42" s="572">
        <v>52.756999999999998</v>
      </c>
      <c r="H42" s="572">
        <v>52.756999999999998</v>
      </c>
      <c r="I42" s="572">
        <v>12</v>
      </c>
      <c r="J42" s="572">
        <v>12</v>
      </c>
      <c r="K42" s="572">
        <v>12</v>
      </c>
      <c r="L42" s="572">
        <v>12</v>
      </c>
      <c r="M42" s="572">
        <v>4.2219999999999995</v>
      </c>
      <c r="N42" s="572">
        <v>4.2219999999999995</v>
      </c>
      <c r="O42" s="1225">
        <v>4.2219999999999995</v>
      </c>
      <c r="P42" s="1225">
        <v>4.2219999999999995</v>
      </c>
      <c r="Q42" s="1225">
        <v>2.3719999999999999</v>
      </c>
      <c r="R42" s="1225">
        <v>2.3719999999999999</v>
      </c>
    </row>
    <row r="43" spans="2:18">
      <c r="B43" t="s">
        <v>462</v>
      </c>
      <c r="C43" t="s">
        <v>616</v>
      </c>
      <c r="D43" s="572">
        <v>106.5440000000001</v>
      </c>
      <c r="E43" s="572">
        <v>98.978999999999999</v>
      </c>
      <c r="F43" s="572">
        <v>98.978999999999999</v>
      </c>
      <c r="G43" s="572">
        <v>98.978999999999999</v>
      </c>
      <c r="H43" s="572">
        <v>98.978999999999999</v>
      </c>
      <c r="I43" s="572">
        <v>2.1159999999999997</v>
      </c>
      <c r="J43" s="572">
        <v>2.1159999999999997</v>
      </c>
      <c r="K43" s="572">
        <v>2.1159999999999997</v>
      </c>
      <c r="L43" s="572">
        <v>2.1159999999999997</v>
      </c>
      <c r="M43" s="572">
        <v>2.1789999999999998</v>
      </c>
      <c r="N43" s="572">
        <v>2.1789999999999998</v>
      </c>
      <c r="O43" s="1225">
        <v>2.1789999999999998</v>
      </c>
      <c r="P43" s="1225">
        <v>2.1789999999999998</v>
      </c>
      <c r="Q43" s="1225">
        <v>2.33</v>
      </c>
      <c r="R43" s="1225">
        <v>2.33</v>
      </c>
    </row>
    <row r="44" spans="2:18">
      <c r="B44" t="s">
        <v>555</v>
      </c>
      <c r="C44" t="s">
        <v>614</v>
      </c>
      <c r="D44" s="572">
        <v>1692.5000000000009</v>
      </c>
      <c r="E44" s="572">
        <v>1669.600000000001</v>
      </c>
      <c r="F44" s="572">
        <v>1710.3262120071224</v>
      </c>
      <c r="G44" s="572">
        <v>1712.4262120071226</v>
      </c>
      <c r="H44" s="572">
        <v>1704.5262120071227</v>
      </c>
      <c r="I44" s="572">
        <v>1706.6262120071228</v>
      </c>
      <c r="J44" s="572">
        <v>1783.9785508694649</v>
      </c>
      <c r="K44" s="572">
        <v>1791.0785508694651</v>
      </c>
      <c r="L44" s="572">
        <v>1798.1785508694652</v>
      </c>
      <c r="M44" s="572">
        <v>1805.2785508694653</v>
      </c>
      <c r="N44" s="572">
        <v>1878.701320206336</v>
      </c>
      <c r="O44" s="1225">
        <v>1885.8013202063362</v>
      </c>
      <c r="P44" s="1225">
        <v>1892.9013202063363</v>
      </c>
      <c r="Q44" s="1225">
        <v>1900.0013202063365</v>
      </c>
      <c r="R44" s="1225">
        <v>1907.1013202063366</v>
      </c>
    </row>
    <row r="45" spans="2:18">
      <c r="B45" t="s">
        <v>556</v>
      </c>
      <c r="C45" t="s">
        <v>615</v>
      </c>
      <c r="D45" s="572">
        <v>156.86404345185662</v>
      </c>
      <c r="E45" s="572">
        <v>158.75050405203845</v>
      </c>
      <c r="F45" s="572">
        <v>160.65965139111677</v>
      </c>
      <c r="G45" s="572">
        <v>162.59175830178242</v>
      </c>
      <c r="H45" s="572">
        <v>164.54710089783592</v>
      </c>
      <c r="I45" s="572">
        <v>166.52595861364625</v>
      </c>
      <c r="J45" s="572">
        <v>168.52861424408439</v>
      </c>
      <c r="K45" s="572">
        <v>170.555353984937</v>
      </c>
      <c r="L45" s="572">
        <v>172.60646747380608</v>
      </c>
      <c r="M45" s="572">
        <v>174.68224783150058</v>
      </c>
      <c r="N45" s="572">
        <v>176.78299170392575</v>
      </c>
      <c r="O45" s="1225">
        <v>178.90899930447623</v>
      </c>
      <c r="P45" s="1225">
        <v>181.06057445693898</v>
      </c>
      <c r="Q45" s="1225">
        <v>183.23802463891224</v>
      </c>
      <c r="R45" s="1225">
        <v>185.44166102574647</v>
      </c>
    </row>
    <row r="46" spans="2:18">
      <c r="B46" t="s">
        <v>622</v>
      </c>
      <c r="C46" t="s">
        <v>624</v>
      </c>
      <c r="D46" s="572">
        <v>3581.2937156624535</v>
      </c>
      <c r="E46" s="572">
        <v>3630.3395341574924</v>
      </c>
      <c r="F46" s="572">
        <v>3664.646133439715</v>
      </c>
      <c r="G46" s="572">
        <v>3713.0568051233495</v>
      </c>
      <c r="H46" s="572">
        <v>3757.5703842750459</v>
      </c>
      <c r="I46" s="572">
        <v>3799.0757903334893</v>
      </c>
      <c r="J46" s="572">
        <v>3832.162568923779</v>
      </c>
      <c r="K46" s="572">
        <v>3869.6085534049957</v>
      </c>
      <c r="L46" s="572">
        <v>3906.7671839657478</v>
      </c>
      <c r="M46" s="572">
        <v>3943.1727406431455</v>
      </c>
      <c r="N46" s="572">
        <v>3978.3185001987345</v>
      </c>
      <c r="O46" s="1225">
        <v>4013.1835799980427</v>
      </c>
      <c r="P46" s="1225">
        <v>4049.6170732672394</v>
      </c>
      <c r="Q46" s="1225">
        <v>4086.0569413053399</v>
      </c>
      <c r="R46" s="1225">
        <v>4123.5269188037892</v>
      </c>
    </row>
    <row r="47" spans="2:18">
      <c r="B47" t="s">
        <v>623</v>
      </c>
      <c r="C47" t="s">
        <v>625</v>
      </c>
      <c r="D47" s="572">
        <v>2160.1095163509108</v>
      </c>
      <c r="E47" s="572">
        <v>2189.9335473148453</v>
      </c>
      <c r="F47" s="572">
        <v>2220.0900478282229</v>
      </c>
      <c r="G47" s="572">
        <v>2249.2040406336514</v>
      </c>
      <c r="H47" s="572">
        <v>2279.4722349899366</v>
      </c>
      <c r="I47" s="572">
        <v>2307.2281681555842</v>
      </c>
      <c r="J47" s="572">
        <v>2332.1434265975586</v>
      </c>
      <c r="K47" s="572">
        <v>2355.6882098651454</v>
      </c>
      <c r="L47" s="572">
        <v>2379.126068009522</v>
      </c>
      <c r="M47" s="572">
        <v>2401.3792184923454</v>
      </c>
      <c r="N47" s="572">
        <v>2422.6102313418151</v>
      </c>
      <c r="O47" s="1225">
        <v>2443.8030478580699</v>
      </c>
      <c r="P47" s="1225">
        <v>2465.9212462631763</v>
      </c>
      <c r="Q47" s="1225">
        <v>2487.1016591667403</v>
      </c>
      <c r="R47" s="1225">
        <v>2509.6765154847499</v>
      </c>
    </row>
    <row r="48" spans="2:18">
      <c r="B48" t="s">
        <v>620</v>
      </c>
      <c r="C48" t="s">
        <v>626</v>
      </c>
      <c r="D48" s="572">
        <v>240.08032128514023</v>
      </c>
      <c r="E48" s="572">
        <v>242.82409638554182</v>
      </c>
      <c r="F48" s="572">
        <v>331.9957125021694</v>
      </c>
      <c r="G48" s="572">
        <v>337.72752744381148</v>
      </c>
      <c r="H48" s="572">
        <v>339.30096683955634</v>
      </c>
      <c r="I48" s="572">
        <v>339.07618978302133</v>
      </c>
      <c r="J48" s="572">
        <v>337.39036185900898</v>
      </c>
      <c r="K48" s="572">
        <v>334.46826012405421</v>
      </c>
      <c r="L48" s="572">
        <v>332.67004367177435</v>
      </c>
      <c r="M48" s="572">
        <v>332.67004367177435</v>
      </c>
      <c r="N48" s="572">
        <v>332.1755341473974</v>
      </c>
      <c r="O48" s="1225">
        <v>333.80516780727601</v>
      </c>
      <c r="P48" s="1225">
        <v>335.18754670496617</v>
      </c>
      <c r="Q48" s="1225">
        <v>337.08691283268678</v>
      </c>
      <c r="R48" s="1225">
        <v>337.99725991165343</v>
      </c>
    </row>
    <row r="49" spans="2:18">
      <c r="B49" t="s">
        <v>621</v>
      </c>
      <c r="C49" t="s">
        <v>627</v>
      </c>
      <c r="D49" s="572">
        <v>119.87954743783622</v>
      </c>
      <c r="E49" s="572">
        <v>121.24959940855436</v>
      </c>
      <c r="F49" s="572">
        <v>119.03333886768679</v>
      </c>
      <c r="G49" s="572">
        <v>121.08841682376399</v>
      </c>
      <c r="H49" s="572">
        <v>121.65255587053028</v>
      </c>
      <c r="I49" s="572">
        <v>121.57196457813509</v>
      </c>
      <c r="J49" s="572">
        <v>120.96752988517122</v>
      </c>
      <c r="K49" s="572">
        <v>119.91984308403381</v>
      </c>
      <c r="L49" s="572">
        <v>119.27511274487235</v>
      </c>
      <c r="M49" s="572">
        <v>119.27511274487235</v>
      </c>
      <c r="N49" s="572">
        <v>119.09781190160294</v>
      </c>
      <c r="O49" s="1225">
        <v>119.68209877146802</v>
      </c>
      <c r="P49" s="1225">
        <v>120.17773521969842</v>
      </c>
      <c r="Q49" s="1225">
        <v>120.85873164043772</v>
      </c>
      <c r="R49" s="1225">
        <v>121.18512637463822</v>
      </c>
    </row>
    <row r="52" spans="2:18">
      <c r="B52" s="1342" t="s">
        <v>1156</v>
      </c>
      <c r="C52" s="1342"/>
      <c r="D52" s="1342"/>
      <c r="E52" s="1342"/>
      <c r="F52" s="1342"/>
      <c r="G52" s="1342"/>
      <c r="H52" s="1342"/>
      <c r="I52" s="1342"/>
      <c r="J52" s="1342"/>
      <c r="K52" s="1342"/>
      <c r="L52" s="1342"/>
      <c r="M52" s="1342"/>
      <c r="N52" s="1342"/>
      <c r="O52" s="1342"/>
      <c r="P52" s="1342"/>
      <c r="Q52" s="1342"/>
      <c r="R52" s="1342"/>
    </row>
    <row r="53" spans="2:18">
      <c r="B53" s="560" t="s">
        <v>629</v>
      </c>
      <c r="C53" s="560" t="s">
        <v>628</v>
      </c>
      <c r="D53" s="560" t="s">
        <v>153</v>
      </c>
      <c r="E53" s="560" t="s">
        <v>154</v>
      </c>
      <c r="F53" s="560" t="s">
        <v>155</v>
      </c>
      <c r="G53" s="560" t="s">
        <v>156</v>
      </c>
      <c r="H53" s="560" t="s">
        <v>157</v>
      </c>
      <c r="I53" s="560" t="s">
        <v>158</v>
      </c>
      <c r="J53" s="560" t="s">
        <v>159</v>
      </c>
      <c r="K53" s="560" t="s">
        <v>160</v>
      </c>
      <c r="L53" s="560" t="s">
        <v>161</v>
      </c>
      <c r="M53" s="560" t="s">
        <v>162</v>
      </c>
      <c r="N53" s="560" t="s">
        <v>163</v>
      </c>
      <c r="O53" t="s">
        <v>164</v>
      </c>
      <c r="P53" s="560" t="s">
        <v>165</v>
      </c>
      <c r="Q53" s="560" t="s">
        <v>166</v>
      </c>
      <c r="R53" s="560" t="s">
        <v>167</v>
      </c>
    </row>
    <row r="54" spans="2:18">
      <c r="B54" s="560" t="s">
        <v>0</v>
      </c>
      <c r="C54" s="560" t="s">
        <v>609</v>
      </c>
      <c r="D54" s="572">
        <f t="shared" ref="D54:N54" si="0">D4-D29</f>
        <v>0</v>
      </c>
      <c r="E54" s="572">
        <f t="shared" si="0"/>
        <v>0</v>
      </c>
      <c r="F54" s="572">
        <f t="shared" si="0"/>
        <v>0</v>
      </c>
      <c r="G54" s="572">
        <f t="shared" si="0"/>
        <v>0</v>
      </c>
      <c r="H54" s="572">
        <f t="shared" si="0"/>
        <v>0</v>
      </c>
      <c r="I54" s="572">
        <f t="shared" si="0"/>
        <v>0</v>
      </c>
      <c r="J54" s="572">
        <f t="shared" si="0"/>
        <v>0</v>
      </c>
      <c r="K54" s="572">
        <f t="shared" si="0"/>
        <v>0</v>
      </c>
      <c r="L54" s="572">
        <f t="shared" si="0"/>
        <v>0</v>
      </c>
      <c r="M54" s="572">
        <f t="shared" si="0"/>
        <v>0</v>
      </c>
      <c r="N54" s="572">
        <f t="shared" si="0"/>
        <v>0</v>
      </c>
      <c r="O54" s="572">
        <f t="shared" ref="O54:R54" si="1">O4-O29</f>
        <v>0</v>
      </c>
      <c r="P54" s="572">
        <f t="shared" si="1"/>
        <v>0</v>
      </c>
      <c r="Q54" s="572">
        <f t="shared" si="1"/>
        <v>0</v>
      </c>
      <c r="R54" s="572">
        <f t="shared" si="1"/>
        <v>0</v>
      </c>
    </row>
    <row r="55" spans="2:18">
      <c r="B55" s="560" t="s">
        <v>6</v>
      </c>
      <c r="C55" s="560" t="s">
        <v>608</v>
      </c>
      <c r="D55" s="572">
        <f t="shared" ref="D55:N55" si="2">D5-D30</f>
        <v>0</v>
      </c>
      <c r="E55" s="572">
        <f t="shared" si="2"/>
        <v>0</v>
      </c>
      <c r="F55" s="572">
        <f t="shared" si="2"/>
        <v>0</v>
      </c>
      <c r="G55" s="572">
        <f t="shared" si="2"/>
        <v>0</v>
      </c>
      <c r="H55" s="572">
        <f t="shared" si="2"/>
        <v>0</v>
      </c>
      <c r="I55" s="572">
        <f t="shared" si="2"/>
        <v>0</v>
      </c>
      <c r="J55" s="572">
        <f t="shared" si="2"/>
        <v>0</v>
      </c>
      <c r="K55" s="572">
        <f t="shared" si="2"/>
        <v>0</v>
      </c>
      <c r="L55" s="572">
        <f t="shared" si="2"/>
        <v>0</v>
      </c>
      <c r="M55" s="572">
        <f t="shared" si="2"/>
        <v>0</v>
      </c>
      <c r="N55" s="572">
        <f t="shared" si="2"/>
        <v>0</v>
      </c>
      <c r="O55" s="572">
        <f t="shared" ref="O55:R55" si="3">O5-O30</f>
        <v>0</v>
      </c>
      <c r="P55" s="572">
        <f t="shared" si="3"/>
        <v>0</v>
      </c>
      <c r="Q55" s="572">
        <f t="shared" si="3"/>
        <v>0</v>
      </c>
      <c r="R55" s="572">
        <f t="shared" si="3"/>
        <v>0</v>
      </c>
    </row>
    <row r="56" spans="2:18">
      <c r="B56" s="560" t="s">
        <v>459</v>
      </c>
      <c r="C56" s="560" t="s">
        <v>604</v>
      </c>
      <c r="D56" s="572">
        <f t="shared" ref="D56:N74" si="4">D6-D31</f>
        <v>-0.30214366387735936</v>
      </c>
      <c r="E56" s="572">
        <f t="shared" si="4"/>
        <v>-0.30443121870780487</v>
      </c>
      <c r="F56" s="572">
        <f t="shared" si="4"/>
        <v>-0.30675394844638504</v>
      </c>
      <c r="G56" s="572">
        <f t="shared" si="4"/>
        <v>-0.30713590999289409</v>
      </c>
      <c r="H56" s="572">
        <f t="shared" si="4"/>
        <v>-0.30700913796295026</v>
      </c>
      <c r="I56" s="572">
        <f t="shared" si="4"/>
        <v>-0.30704136884651234</v>
      </c>
      <c r="J56" s="572">
        <f t="shared" si="4"/>
        <v>-0.30786247527566957</v>
      </c>
      <c r="K56" s="572">
        <f t="shared" si="4"/>
        <v>-0.30900976071416153</v>
      </c>
      <c r="L56" s="572">
        <f t="shared" si="4"/>
        <v>-0.31047863825210698</v>
      </c>
      <c r="M56" s="572">
        <f t="shared" si="4"/>
        <v>-0.31220519185399098</v>
      </c>
      <c r="N56" s="572">
        <f t="shared" si="4"/>
        <v>-0.31390833319437661</v>
      </c>
      <c r="O56" s="572">
        <f t="shared" ref="O56:R56" si="5">O6-O31</f>
        <v>-0.31562076550903839</v>
      </c>
      <c r="P56" s="572">
        <f t="shared" si="5"/>
        <v>-0.3174201388376332</v>
      </c>
      <c r="Q56" s="572">
        <f t="shared" si="5"/>
        <v>-0.31915172874983</v>
      </c>
      <c r="R56" s="572">
        <f t="shared" si="5"/>
        <v>-0.32112799486958465</v>
      </c>
    </row>
    <row r="57" spans="2:18">
      <c r="B57" s="560" t="s">
        <v>460</v>
      </c>
      <c r="C57" s="560" t="s">
        <v>605</v>
      </c>
      <c r="D57" s="572">
        <f t="shared" si="4"/>
        <v>-2.7651069605285556</v>
      </c>
      <c r="E57" s="572">
        <f t="shared" si="4"/>
        <v>-2.8317838900597962</v>
      </c>
      <c r="F57" s="572">
        <f t="shared" si="4"/>
        <v>-2.8934549917867116</v>
      </c>
      <c r="G57" s="572">
        <f t="shared" si="4"/>
        <v>-2.949664830911388</v>
      </c>
      <c r="H57" s="572">
        <f t="shared" si="4"/>
        <v>-2.9999817621765033</v>
      </c>
      <c r="I57" s="572">
        <f t="shared" si="4"/>
        <v>-3.040407039742604</v>
      </c>
      <c r="J57" s="572">
        <f t="shared" si="4"/>
        <v>-3.0777196276940231</v>
      </c>
      <c r="K57" s="572">
        <f t="shared" si="4"/>
        <v>-3.1154901244722168</v>
      </c>
      <c r="L57" s="572">
        <f t="shared" si="4"/>
        <v>-3.1537241496412207</v>
      </c>
      <c r="M57" s="572">
        <f t="shared" si="4"/>
        <v>-3.1924273917297796</v>
      </c>
      <c r="N57" s="572">
        <f t="shared" si="4"/>
        <v>-3.2316056090785423</v>
      </c>
      <c r="O57" s="572">
        <f t="shared" ref="O57:R57" si="6">O7-O32</f>
        <v>-3.2316056090785423</v>
      </c>
      <c r="P57" s="572">
        <f t="shared" si="6"/>
        <v>-3.2316056090785423</v>
      </c>
      <c r="Q57" s="572">
        <f t="shared" si="6"/>
        <v>-3.2316056090785423</v>
      </c>
      <c r="R57" s="572">
        <f t="shared" si="6"/>
        <v>-3.2316056090785423</v>
      </c>
    </row>
    <row r="58" spans="2:18">
      <c r="B58" s="560" t="s">
        <v>570</v>
      </c>
      <c r="C58" s="560" t="s">
        <v>612</v>
      </c>
      <c r="D58" s="572">
        <f t="shared" si="4"/>
        <v>0</v>
      </c>
      <c r="E58" s="572">
        <f t="shared" si="4"/>
        <v>0</v>
      </c>
      <c r="F58" s="572">
        <f t="shared" si="4"/>
        <v>0</v>
      </c>
      <c r="G58" s="572">
        <f t="shared" si="4"/>
        <v>0</v>
      </c>
      <c r="H58" s="572">
        <f t="shared" si="4"/>
        <v>0</v>
      </c>
      <c r="I58" s="572">
        <f t="shared" si="4"/>
        <v>0</v>
      </c>
      <c r="J58" s="572">
        <f t="shared" si="4"/>
        <v>0</v>
      </c>
      <c r="K58" s="572">
        <f t="shared" si="4"/>
        <v>0</v>
      </c>
      <c r="L58" s="572">
        <f t="shared" si="4"/>
        <v>0</v>
      </c>
      <c r="M58" s="572">
        <f t="shared" si="4"/>
        <v>0</v>
      </c>
      <c r="N58" s="572">
        <f t="shared" si="4"/>
        <v>0</v>
      </c>
      <c r="O58" s="572">
        <f t="shared" ref="O58:R58" si="7">O8-O33</f>
        <v>0</v>
      </c>
      <c r="P58" s="572">
        <f t="shared" si="7"/>
        <v>0</v>
      </c>
      <c r="Q58" s="572">
        <f t="shared" si="7"/>
        <v>0</v>
      </c>
      <c r="R58" s="572">
        <f t="shared" si="7"/>
        <v>0</v>
      </c>
    </row>
    <row r="59" spans="2:18">
      <c r="B59" s="560" t="s">
        <v>611</v>
      </c>
      <c r="C59" s="560" t="s">
        <v>613</v>
      </c>
      <c r="D59" s="572">
        <f t="shared" si="4"/>
        <v>0</v>
      </c>
      <c r="E59" s="572">
        <f t="shared" si="4"/>
        <v>0</v>
      </c>
      <c r="F59" s="572">
        <f t="shared" si="4"/>
        <v>0</v>
      </c>
      <c r="G59" s="572">
        <f t="shared" si="4"/>
        <v>0</v>
      </c>
      <c r="H59" s="572">
        <f t="shared" si="4"/>
        <v>0</v>
      </c>
      <c r="I59" s="572">
        <f t="shared" si="4"/>
        <v>0</v>
      </c>
      <c r="J59" s="572">
        <f t="shared" si="4"/>
        <v>0</v>
      </c>
      <c r="K59" s="572">
        <f t="shared" si="4"/>
        <v>0</v>
      </c>
      <c r="L59" s="572">
        <f t="shared" si="4"/>
        <v>0</v>
      </c>
      <c r="M59" s="572">
        <f t="shared" si="4"/>
        <v>0</v>
      </c>
      <c r="N59" s="572">
        <f t="shared" si="4"/>
        <v>0</v>
      </c>
      <c r="O59" s="572">
        <f t="shared" ref="O59:R59" si="8">O9-O34</f>
        <v>0</v>
      </c>
      <c r="P59" s="572">
        <f t="shared" si="8"/>
        <v>0</v>
      </c>
      <c r="Q59" s="572">
        <f t="shared" si="8"/>
        <v>0</v>
      </c>
      <c r="R59" s="572">
        <f t="shared" si="8"/>
        <v>0</v>
      </c>
    </row>
    <row r="60" spans="2:18">
      <c r="B60" s="560" t="s">
        <v>133</v>
      </c>
      <c r="C60" s="560" t="s">
        <v>606</v>
      </c>
      <c r="D60" s="572">
        <f t="shared" si="4"/>
        <v>-1.5618381502889633</v>
      </c>
      <c r="E60" s="572">
        <f t="shared" si="4"/>
        <v>0</v>
      </c>
      <c r="F60" s="572">
        <f t="shared" si="4"/>
        <v>0</v>
      </c>
      <c r="G60" s="572">
        <f t="shared" si="4"/>
        <v>0</v>
      </c>
      <c r="H60" s="572">
        <f t="shared" si="4"/>
        <v>0</v>
      </c>
      <c r="I60" s="572">
        <f t="shared" si="4"/>
        <v>0</v>
      </c>
      <c r="J60" s="572">
        <f t="shared" si="4"/>
        <v>0</v>
      </c>
      <c r="K60" s="572">
        <f t="shared" si="4"/>
        <v>0</v>
      </c>
      <c r="L60" s="572">
        <f t="shared" si="4"/>
        <v>0</v>
      </c>
      <c r="M60" s="572">
        <f t="shared" si="4"/>
        <v>0</v>
      </c>
      <c r="N60" s="572">
        <f t="shared" si="4"/>
        <v>0</v>
      </c>
      <c r="O60" s="572">
        <f t="shared" ref="O60:R60" si="9">O10-O35</f>
        <v>0</v>
      </c>
      <c r="P60" s="572">
        <f t="shared" si="9"/>
        <v>0</v>
      </c>
      <c r="Q60" s="572">
        <f t="shared" si="9"/>
        <v>0</v>
      </c>
      <c r="R60" s="572">
        <f t="shared" si="9"/>
        <v>0</v>
      </c>
    </row>
    <row r="61" spans="2:18">
      <c r="B61" s="560" t="s">
        <v>134</v>
      </c>
      <c r="C61" s="560" t="s">
        <v>607</v>
      </c>
      <c r="D61" s="572">
        <f t="shared" si="4"/>
        <v>9.1872832369972457E-2</v>
      </c>
      <c r="E61" s="572">
        <f t="shared" si="4"/>
        <v>7.9924855491356084E-2</v>
      </c>
      <c r="F61" s="572">
        <f t="shared" si="4"/>
        <v>7.1167630057829001E-2</v>
      </c>
      <c r="G61" s="572">
        <f t="shared" si="4"/>
        <v>6.6225433526032162E-2</v>
      </c>
      <c r="H61" s="572">
        <f t="shared" si="4"/>
        <v>6.3849710982676555E-2</v>
      </c>
      <c r="I61" s="572">
        <f t="shared" si="4"/>
        <v>6.3069364161869146E-2</v>
      </c>
      <c r="J61" s="572">
        <f t="shared" si="4"/>
        <v>6.3502890173431581E-2</v>
      </c>
      <c r="K61" s="572">
        <f t="shared" si="4"/>
        <v>6.4473988439328167E-2</v>
      </c>
      <c r="L61" s="572">
        <f t="shared" si="4"/>
        <v>6.5462427745686114E-2</v>
      </c>
      <c r="M61" s="572">
        <f t="shared" si="4"/>
        <v>6.6502890173435247E-2</v>
      </c>
      <c r="N61" s="572">
        <f t="shared" si="4"/>
        <v>6.7803468208119E-2</v>
      </c>
      <c r="O61" s="572">
        <f t="shared" ref="O61:R61" si="10">O11-O36</f>
        <v>6.8878612716794407E-2</v>
      </c>
      <c r="P61" s="572">
        <f t="shared" si="10"/>
        <v>6.9728323699454364E-2</v>
      </c>
      <c r="Q61" s="572">
        <f t="shared" si="10"/>
        <v>7.0786127167661306E-2</v>
      </c>
      <c r="R61" s="572">
        <f t="shared" si="10"/>
        <v>7.1809248554941973E-2</v>
      </c>
    </row>
    <row r="62" spans="2:18">
      <c r="B62" s="560" t="s">
        <v>140</v>
      </c>
      <c r="C62" s="560" t="s">
        <v>610</v>
      </c>
      <c r="D62" s="572">
        <f t="shared" si="4"/>
        <v>1.2455112902831615</v>
      </c>
      <c r="E62" s="572">
        <f t="shared" si="4"/>
        <v>0.22142311908498868</v>
      </c>
      <c r="F62" s="572">
        <f t="shared" si="4"/>
        <v>16.634721387634158</v>
      </c>
      <c r="G62" s="572">
        <f t="shared" si="4"/>
        <v>15.797691774506575</v>
      </c>
      <c r="H62" s="572">
        <f t="shared" si="4"/>
        <v>13.537735064943945</v>
      </c>
      <c r="I62" s="572">
        <f t="shared" si="4"/>
        <v>13.59093720499061</v>
      </c>
      <c r="J62" s="572">
        <f t="shared" si="4"/>
        <v>13.632208246286723</v>
      </c>
      <c r="K62" s="572">
        <f t="shared" si="4"/>
        <v>13.673604613660359</v>
      </c>
      <c r="L62" s="572">
        <f t="shared" si="4"/>
        <v>13.715126687684119</v>
      </c>
      <c r="M62" s="572">
        <f t="shared" si="4"/>
        <v>14.277005812744392</v>
      </c>
      <c r="N62" s="572">
        <f t="shared" si="4"/>
        <v>14.86190391228206</v>
      </c>
      <c r="O62" s="572">
        <f t="shared" ref="O62:R62" si="11">O12-O37</f>
        <v>15.470764023976244</v>
      </c>
      <c r="P62" s="572">
        <f t="shared" si="11"/>
        <v>16.104567819723343</v>
      </c>
      <c r="Q62" s="572">
        <f t="shared" si="11"/>
        <v>16.764337188397576</v>
      </c>
      <c r="R62" s="572">
        <f t="shared" si="11"/>
        <v>17.451135883453844</v>
      </c>
    </row>
    <row r="63" spans="2:18">
      <c r="B63" s="560" t="s">
        <v>139</v>
      </c>
      <c r="C63" s="560" t="s">
        <v>73</v>
      </c>
      <c r="D63" s="572">
        <f t="shared" si="4"/>
        <v>24.512530456156583</v>
      </c>
      <c r="E63" s="572">
        <f t="shared" si="4"/>
        <v>23.481918404647558</v>
      </c>
      <c r="F63" s="572">
        <f t="shared" si="4"/>
        <v>22.41077513291998</v>
      </c>
      <c r="G63" s="572">
        <f t="shared" si="4"/>
        <v>21.298044854352611</v>
      </c>
      <c r="H63" s="572">
        <f t="shared" si="4"/>
        <v>20.142647972998134</v>
      </c>
      <c r="I63" s="572">
        <f t="shared" si="4"/>
        <v>20.203814325529152</v>
      </c>
      <c r="J63" s="572">
        <f t="shared" si="4"/>
        <v>20.265166419412822</v>
      </c>
      <c r="K63" s="572">
        <f t="shared" si="4"/>
        <v>20.326704818682401</v>
      </c>
      <c r="L63" s="572">
        <f t="shared" si="4"/>
        <v>20.38843008908384</v>
      </c>
      <c r="M63" s="572">
        <f t="shared" si="4"/>
        <v>21.22370004470838</v>
      </c>
      <c r="N63" s="572">
        <f t="shared" si="4"/>
        <v>22.093189206800616</v>
      </c>
      <c r="O63" s="572">
        <f t="shared" ref="O63:R63" si="12">O13-O38</f>
        <v>22.998299462359228</v>
      </c>
      <c r="P63" s="572">
        <f t="shared" si="12"/>
        <v>23.940490130666262</v>
      </c>
      <c r="Q63" s="572">
        <f t="shared" si="12"/>
        <v>24.921280316163575</v>
      </c>
      <c r="R63" s="572">
        <f t="shared" si="12"/>
        <v>25.94225135772183</v>
      </c>
    </row>
    <row r="64" spans="2:18">
      <c r="B64" s="560" t="s">
        <v>385</v>
      </c>
      <c r="C64" s="560" t="s">
        <v>74</v>
      </c>
      <c r="D64" s="572">
        <f t="shared" si="4"/>
        <v>0</v>
      </c>
      <c r="E64" s="572">
        <f t="shared" si="4"/>
        <v>0</v>
      </c>
      <c r="F64" s="572">
        <f t="shared" si="4"/>
        <v>0</v>
      </c>
      <c r="G64" s="572">
        <f t="shared" si="4"/>
        <v>0</v>
      </c>
      <c r="H64" s="572">
        <f t="shared" si="4"/>
        <v>0</v>
      </c>
      <c r="I64" s="572">
        <f t="shared" si="4"/>
        <v>0</v>
      </c>
      <c r="J64" s="572">
        <f t="shared" si="4"/>
        <v>0</v>
      </c>
      <c r="K64" s="572">
        <f t="shared" si="4"/>
        <v>0</v>
      </c>
      <c r="L64" s="572">
        <f t="shared" si="4"/>
        <v>0</v>
      </c>
      <c r="M64" s="572">
        <f t="shared" si="4"/>
        <v>0</v>
      </c>
      <c r="N64" s="572">
        <f t="shared" si="4"/>
        <v>0</v>
      </c>
      <c r="O64" s="572">
        <f t="shared" ref="O64:R64" si="13">O14-O39</f>
        <v>0</v>
      </c>
      <c r="P64" s="572">
        <f t="shared" si="13"/>
        <v>0</v>
      </c>
      <c r="Q64" s="572">
        <f t="shared" si="13"/>
        <v>0</v>
      </c>
      <c r="R64" s="572">
        <f t="shared" si="13"/>
        <v>0</v>
      </c>
    </row>
    <row r="65" spans="2:18">
      <c r="B65" s="560" t="s">
        <v>463</v>
      </c>
      <c r="C65" s="560" t="s">
        <v>618</v>
      </c>
      <c r="D65" s="572">
        <f t="shared" si="4"/>
        <v>0</v>
      </c>
      <c r="E65" s="572">
        <f t="shared" si="4"/>
        <v>0</v>
      </c>
      <c r="F65" s="572">
        <f t="shared" si="4"/>
        <v>0</v>
      </c>
      <c r="G65" s="572">
        <f t="shared" si="4"/>
        <v>0</v>
      </c>
      <c r="H65" s="572">
        <f t="shared" si="4"/>
        <v>0</v>
      </c>
      <c r="I65" s="572">
        <f t="shared" si="4"/>
        <v>0</v>
      </c>
      <c r="J65" s="572">
        <f t="shared" si="4"/>
        <v>0</v>
      </c>
      <c r="K65" s="572">
        <f t="shared" si="4"/>
        <v>0</v>
      </c>
      <c r="L65" s="572">
        <f t="shared" si="4"/>
        <v>0</v>
      </c>
      <c r="M65" s="572">
        <f t="shared" si="4"/>
        <v>0</v>
      </c>
      <c r="N65" s="572">
        <f t="shared" si="4"/>
        <v>0</v>
      </c>
      <c r="O65" s="572">
        <f t="shared" ref="O65:R65" si="14">O15-O40</f>
        <v>0</v>
      </c>
      <c r="P65" s="572">
        <f t="shared" si="14"/>
        <v>0</v>
      </c>
      <c r="Q65" s="572">
        <f t="shared" si="14"/>
        <v>0</v>
      </c>
      <c r="R65" s="572">
        <f t="shared" si="14"/>
        <v>0</v>
      </c>
    </row>
    <row r="66" spans="2:18">
      <c r="B66" s="560" t="s">
        <v>464</v>
      </c>
      <c r="C66" s="560" t="s">
        <v>619</v>
      </c>
      <c r="D66" s="572">
        <f t="shared" si="4"/>
        <v>0</v>
      </c>
      <c r="E66" s="572">
        <f t="shared" si="4"/>
        <v>0</v>
      </c>
      <c r="F66" s="572">
        <f t="shared" si="4"/>
        <v>0</v>
      </c>
      <c r="G66" s="572">
        <f t="shared" si="4"/>
        <v>0</v>
      </c>
      <c r="H66" s="572">
        <f t="shared" si="4"/>
        <v>0</v>
      </c>
      <c r="I66" s="572">
        <f t="shared" si="4"/>
        <v>0</v>
      </c>
      <c r="J66" s="572">
        <f t="shared" si="4"/>
        <v>0</v>
      </c>
      <c r="K66" s="572">
        <f t="shared" si="4"/>
        <v>0</v>
      </c>
      <c r="L66" s="572">
        <f t="shared" si="4"/>
        <v>0</v>
      </c>
      <c r="M66" s="572">
        <f t="shared" si="4"/>
        <v>0</v>
      </c>
      <c r="N66" s="572">
        <f t="shared" si="4"/>
        <v>0</v>
      </c>
      <c r="O66" s="572">
        <f t="shared" ref="O66:R66" si="15">O16-O41</f>
        <v>0</v>
      </c>
      <c r="P66" s="572">
        <f t="shared" si="15"/>
        <v>0</v>
      </c>
      <c r="Q66" s="572">
        <f t="shared" si="15"/>
        <v>0</v>
      </c>
      <c r="R66" s="572">
        <f t="shared" si="15"/>
        <v>0</v>
      </c>
    </row>
    <row r="67" spans="2:18">
      <c r="B67" s="560" t="s">
        <v>461</v>
      </c>
      <c r="C67" s="560" t="s">
        <v>617</v>
      </c>
      <c r="D67" s="572">
        <f t="shared" si="4"/>
        <v>0</v>
      </c>
      <c r="E67" s="572">
        <f t="shared" si="4"/>
        <v>0</v>
      </c>
      <c r="F67" s="572">
        <f t="shared" si="4"/>
        <v>0</v>
      </c>
      <c r="G67" s="572">
        <f t="shared" si="4"/>
        <v>0</v>
      </c>
      <c r="H67" s="572">
        <f t="shared" si="4"/>
        <v>0</v>
      </c>
      <c r="I67" s="572">
        <f t="shared" si="4"/>
        <v>0</v>
      </c>
      <c r="J67" s="572">
        <f t="shared" si="4"/>
        <v>0</v>
      </c>
      <c r="K67" s="572">
        <f t="shared" si="4"/>
        <v>0</v>
      </c>
      <c r="L67" s="572">
        <f t="shared" si="4"/>
        <v>0</v>
      </c>
      <c r="M67" s="572">
        <f t="shared" si="4"/>
        <v>0</v>
      </c>
      <c r="N67" s="572">
        <f t="shared" si="4"/>
        <v>0</v>
      </c>
      <c r="O67" s="572">
        <f t="shared" ref="O67:R67" si="16">O17-O42</f>
        <v>0</v>
      </c>
      <c r="P67" s="572">
        <f t="shared" si="16"/>
        <v>0</v>
      </c>
      <c r="Q67" s="572">
        <f t="shared" si="16"/>
        <v>0</v>
      </c>
      <c r="R67" s="572">
        <f t="shared" si="16"/>
        <v>0</v>
      </c>
    </row>
    <row r="68" spans="2:18">
      <c r="B68" s="560" t="s">
        <v>462</v>
      </c>
      <c r="C68" s="560" t="s">
        <v>616</v>
      </c>
      <c r="D68" s="572">
        <f t="shared" si="4"/>
        <v>0</v>
      </c>
      <c r="E68" s="572">
        <f t="shared" si="4"/>
        <v>0</v>
      </c>
      <c r="F68" s="572">
        <f t="shared" si="4"/>
        <v>0</v>
      </c>
      <c r="G68" s="572">
        <f t="shared" si="4"/>
        <v>0</v>
      </c>
      <c r="H68" s="572">
        <f t="shared" si="4"/>
        <v>0</v>
      </c>
      <c r="I68" s="572">
        <f t="shared" si="4"/>
        <v>0</v>
      </c>
      <c r="J68" s="572">
        <f t="shared" si="4"/>
        <v>0</v>
      </c>
      <c r="K68" s="572">
        <f t="shared" si="4"/>
        <v>0</v>
      </c>
      <c r="L68" s="572">
        <f t="shared" si="4"/>
        <v>0</v>
      </c>
      <c r="M68" s="572">
        <f t="shared" si="4"/>
        <v>0</v>
      </c>
      <c r="N68" s="572">
        <f t="shared" si="4"/>
        <v>0</v>
      </c>
      <c r="O68" s="572">
        <f t="shared" ref="O68:R68" si="17">O18-O43</f>
        <v>0</v>
      </c>
      <c r="P68" s="572">
        <f t="shared" si="17"/>
        <v>0</v>
      </c>
      <c r="Q68" s="572">
        <f t="shared" si="17"/>
        <v>0</v>
      </c>
      <c r="R68" s="572">
        <f t="shared" si="17"/>
        <v>0</v>
      </c>
    </row>
    <row r="69" spans="2:18">
      <c r="B69" s="560" t="s">
        <v>555</v>
      </c>
      <c r="C69" s="560" t="s">
        <v>614</v>
      </c>
      <c r="D69" s="572">
        <f t="shared" si="4"/>
        <v>0</v>
      </c>
      <c r="E69" s="572">
        <f t="shared" si="4"/>
        <v>0</v>
      </c>
      <c r="F69" s="572">
        <f t="shared" si="4"/>
        <v>0</v>
      </c>
      <c r="G69" s="572">
        <f t="shared" si="4"/>
        <v>0</v>
      </c>
      <c r="H69" s="572">
        <f t="shared" si="4"/>
        <v>0</v>
      </c>
      <c r="I69" s="572">
        <f t="shared" si="4"/>
        <v>0</v>
      </c>
      <c r="J69" s="572">
        <f t="shared" si="4"/>
        <v>0</v>
      </c>
      <c r="K69" s="572">
        <f t="shared" si="4"/>
        <v>0</v>
      </c>
      <c r="L69" s="572">
        <f t="shared" si="4"/>
        <v>0</v>
      </c>
      <c r="M69" s="572">
        <f t="shared" si="4"/>
        <v>0</v>
      </c>
      <c r="N69" s="572">
        <f t="shared" si="4"/>
        <v>0</v>
      </c>
      <c r="O69" s="572">
        <f t="shared" ref="O69:R69" si="18">O19-O44</f>
        <v>0</v>
      </c>
      <c r="P69" s="572">
        <f t="shared" si="18"/>
        <v>0</v>
      </c>
      <c r="Q69" s="572">
        <f t="shared" si="18"/>
        <v>0</v>
      </c>
      <c r="R69" s="572">
        <f t="shared" si="18"/>
        <v>0</v>
      </c>
    </row>
    <row r="70" spans="2:18">
      <c r="B70" s="560" t="s">
        <v>556</v>
      </c>
      <c r="C70" s="560" t="s">
        <v>615</v>
      </c>
      <c r="D70" s="572">
        <f t="shared" si="4"/>
        <v>0</v>
      </c>
      <c r="E70" s="572">
        <f t="shared" si="4"/>
        <v>0</v>
      </c>
      <c r="F70" s="572">
        <f t="shared" si="4"/>
        <v>0</v>
      </c>
      <c r="G70" s="572">
        <f t="shared" si="4"/>
        <v>0</v>
      </c>
      <c r="H70" s="572">
        <f t="shared" si="4"/>
        <v>0</v>
      </c>
      <c r="I70" s="572">
        <f t="shared" si="4"/>
        <v>0</v>
      </c>
      <c r="J70" s="572">
        <f t="shared" si="4"/>
        <v>0</v>
      </c>
      <c r="K70" s="572">
        <f t="shared" si="4"/>
        <v>0</v>
      </c>
      <c r="L70" s="572">
        <f t="shared" si="4"/>
        <v>0</v>
      </c>
      <c r="M70" s="572">
        <f t="shared" si="4"/>
        <v>0</v>
      </c>
      <c r="N70" s="572">
        <f t="shared" si="4"/>
        <v>0</v>
      </c>
      <c r="O70" s="572">
        <f t="shared" ref="O70:R70" si="19">O20-O45</f>
        <v>0</v>
      </c>
      <c r="P70" s="572">
        <f t="shared" si="19"/>
        <v>0</v>
      </c>
      <c r="Q70" s="572">
        <f t="shared" si="19"/>
        <v>0</v>
      </c>
      <c r="R70" s="572">
        <f t="shared" si="19"/>
        <v>0</v>
      </c>
    </row>
    <row r="71" spans="2:18">
      <c r="B71" s="560" t="s">
        <v>622</v>
      </c>
      <c r="C71" s="560" t="s">
        <v>624</v>
      </c>
      <c r="D71" s="572">
        <f t="shared" si="4"/>
        <v>121.43420241219383</v>
      </c>
      <c r="E71" s="572">
        <f t="shared" si="4"/>
        <v>122.85913440520108</v>
      </c>
      <c r="F71" s="572">
        <f t="shared" si="4"/>
        <v>124.82833262642407</v>
      </c>
      <c r="G71" s="572">
        <f t="shared" si="4"/>
        <v>126.56648624827403</v>
      </c>
      <c r="H71" s="572">
        <f t="shared" si="4"/>
        <v>128.16357620820418</v>
      </c>
      <c r="I71" s="572">
        <f t="shared" si="4"/>
        <v>129.6470355679412</v>
      </c>
      <c r="J71" s="572">
        <f t="shared" si="4"/>
        <v>131.04567857366737</v>
      </c>
      <c r="K71" s="572">
        <f t="shared" si="4"/>
        <v>132.40204251922978</v>
      </c>
      <c r="L71" s="572">
        <f t="shared" si="4"/>
        <v>133.71905799117758</v>
      </c>
      <c r="M71" s="572">
        <f t="shared" si="4"/>
        <v>134.97311329861941</v>
      </c>
      <c r="N71" s="572">
        <f t="shared" si="4"/>
        <v>136.21792518129905</v>
      </c>
      <c r="O71" s="572">
        <f t="shared" ref="O71:R71" si="20">O21-O46</f>
        <v>137.3955555102566</v>
      </c>
      <c r="P71" s="572">
        <f t="shared" si="20"/>
        <v>138.64739037377558</v>
      </c>
      <c r="Q71" s="572">
        <f t="shared" si="20"/>
        <v>139.92113282970968</v>
      </c>
      <c r="R71" s="572">
        <f t="shared" si="20"/>
        <v>141.25353659082612</v>
      </c>
    </row>
    <row r="72" spans="2:18">
      <c r="B72" s="560" t="s">
        <v>623</v>
      </c>
      <c r="C72" s="560" t="s">
        <v>625</v>
      </c>
      <c r="D72" s="572">
        <f t="shared" si="4"/>
        <v>4.3387755594767441</v>
      </c>
      <c r="E72" s="572">
        <f t="shared" si="4"/>
        <v>4.3887648384184104</v>
      </c>
      <c r="F72" s="572">
        <f t="shared" si="4"/>
        <v>4.4513241734093754</v>
      </c>
      <c r="G72" s="572">
        <f t="shared" si="4"/>
        <v>4.5136513750499034</v>
      </c>
      <c r="H72" s="572">
        <f t="shared" si="4"/>
        <v>4.5704028076838767</v>
      </c>
      <c r="I72" s="572">
        <f t="shared" si="4"/>
        <v>4.6231642111470137</v>
      </c>
      <c r="J72" s="572">
        <f t="shared" si="4"/>
        <v>4.6731055550753808</v>
      </c>
      <c r="K72" s="572">
        <f t="shared" si="4"/>
        <v>4.7216296911042264</v>
      </c>
      <c r="L72" s="572">
        <f t="shared" si="4"/>
        <v>4.7686366868642835</v>
      </c>
      <c r="M72" s="572">
        <f t="shared" si="4"/>
        <v>4.8133742145423639</v>
      </c>
      <c r="N72" s="572">
        <f t="shared" si="4"/>
        <v>4.8579388438811293</v>
      </c>
      <c r="O72" s="572">
        <f t="shared" ref="O72:R72" si="21">O22-O47</f>
        <v>4.8998854605506494</v>
      </c>
      <c r="P72" s="572">
        <f t="shared" si="21"/>
        <v>4.9445549522961301</v>
      </c>
      <c r="Q72" s="572">
        <f t="shared" si="21"/>
        <v>4.9902204540367165</v>
      </c>
      <c r="R72" s="572">
        <f t="shared" si="21"/>
        <v>5.0379475706677113</v>
      </c>
    </row>
    <row r="73" spans="2:18">
      <c r="B73" s="560" t="s">
        <v>620</v>
      </c>
      <c r="C73" s="560" t="s">
        <v>626</v>
      </c>
      <c r="D73" s="572">
        <f t="shared" si="4"/>
        <v>35.281124497992295</v>
      </c>
      <c r="E73" s="572">
        <f t="shared" si="4"/>
        <v>35.684337349397964</v>
      </c>
      <c r="F73" s="572">
        <f t="shared" si="4"/>
        <v>0</v>
      </c>
      <c r="G73" s="572">
        <f t="shared" si="4"/>
        <v>0</v>
      </c>
      <c r="H73" s="572">
        <f t="shared" si="4"/>
        <v>0</v>
      </c>
      <c r="I73" s="572">
        <f t="shared" si="4"/>
        <v>0</v>
      </c>
      <c r="J73" s="572">
        <f t="shared" si="4"/>
        <v>0</v>
      </c>
      <c r="K73" s="572">
        <f t="shared" si="4"/>
        <v>0</v>
      </c>
      <c r="L73" s="572">
        <f t="shared" si="4"/>
        <v>0</v>
      </c>
      <c r="M73" s="572">
        <f t="shared" si="4"/>
        <v>0</v>
      </c>
      <c r="N73" s="572">
        <f t="shared" si="4"/>
        <v>0</v>
      </c>
      <c r="O73" s="572">
        <f t="shared" ref="O73:R73" si="22">O23-O48</f>
        <v>0</v>
      </c>
      <c r="P73" s="572">
        <f t="shared" si="22"/>
        <v>0</v>
      </c>
      <c r="Q73" s="572">
        <f t="shared" si="22"/>
        <v>0</v>
      </c>
      <c r="R73" s="572">
        <f t="shared" si="22"/>
        <v>0</v>
      </c>
    </row>
    <row r="74" spans="2:18">
      <c r="B74" s="560" t="s">
        <v>621</v>
      </c>
      <c r="C74" s="560" t="s">
        <v>627</v>
      </c>
      <c r="D74" s="572">
        <f t="shared" si="4"/>
        <v>0</v>
      </c>
      <c r="E74" s="572">
        <f t="shared" si="4"/>
        <v>0</v>
      </c>
      <c r="F74" s="572">
        <f t="shared" si="4"/>
        <v>0</v>
      </c>
      <c r="G74" s="572">
        <f t="shared" si="4"/>
        <v>0</v>
      </c>
      <c r="H74" s="572">
        <f t="shared" si="4"/>
        <v>0</v>
      </c>
      <c r="I74" s="572">
        <f t="shared" si="4"/>
        <v>0</v>
      </c>
      <c r="J74" s="572">
        <f t="shared" si="4"/>
        <v>0</v>
      </c>
      <c r="K74" s="572">
        <f t="shared" si="4"/>
        <v>0</v>
      </c>
      <c r="L74" s="572">
        <f t="shared" si="4"/>
        <v>0</v>
      </c>
      <c r="M74" s="572">
        <f t="shared" si="4"/>
        <v>0</v>
      </c>
      <c r="N74" s="572">
        <f t="shared" si="4"/>
        <v>0</v>
      </c>
      <c r="O74" s="572">
        <f t="shared" ref="O74:R74" si="23">O24-O49</f>
        <v>0</v>
      </c>
      <c r="P74" s="572">
        <f t="shared" si="23"/>
        <v>0</v>
      </c>
      <c r="Q74" s="572">
        <f t="shared" si="23"/>
        <v>0</v>
      </c>
      <c r="R74" s="572">
        <f t="shared" si="23"/>
        <v>0</v>
      </c>
    </row>
    <row r="77" spans="2:18">
      <c r="B77" s="1342" t="s">
        <v>1157</v>
      </c>
      <c r="C77" s="1342"/>
      <c r="D77" s="1342"/>
      <c r="E77" s="1342"/>
      <c r="F77" s="1342"/>
      <c r="G77" s="1342"/>
      <c r="H77" s="1342"/>
      <c r="I77" s="1342"/>
      <c r="J77" s="1342"/>
      <c r="K77" s="1342"/>
      <c r="L77" s="1342"/>
      <c r="M77" s="1342"/>
      <c r="N77" s="1342"/>
      <c r="O77" s="1342"/>
      <c r="P77" s="1342"/>
      <c r="Q77" s="1342"/>
      <c r="R77" s="1342"/>
    </row>
    <row r="78" spans="2:18">
      <c r="B78" s="560" t="s">
        <v>629</v>
      </c>
      <c r="C78" s="560" t="s">
        <v>628</v>
      </c>
      <c r="D78" s="560" t="s">
        <v>153</v>
      </c>
      <c r="E78" s="560" t="s">
        <v>154</v>
      </c>
      <c r="F78" s="560" t="s">
        <v>155</v>
      </c>
      <c r="G78" s="560" t="s">
        <v>156</v>
      </c>
      <c r="H78" s="560" t="s">
        <v>157</v>
      </c>
      <c r="I78" s="560" t="s">
        <v>158</v>
      </c>
      <c r="J78" s="560" t="s">
        <v>159</v>
      </c>
      <c r="K78" s="560" t="s">
        <v>160</v>
      </c>
      <c r="L78" s="560" t="s">
        <v>161</v>
      </c>
      <c r="M78" s="560" t="s">
        <v>162</v>
      </c>
      <c r="N78" s="560" t="s">
        <v>163</v>
      </c>
      <c r="O78" s="560" t="s">
        <v>164</v>
      </c>
      <c r="P78" s="560" t="s">
        <v>165</v>
      </c>
      <c r="Q78" s="560" t="s">
        <v>166</v>
      </c>
      <c r="R78" s="560" t="s">
        <v>167</v>
      </c>
    </row>
    <row r="79" spans="2:18">
      <c r="B79" s="560" t="s">
        <v>0</v>
      </c>
      <c r="C79" s="560" t="s">
        <v>609</v>
      </c>
      <c r="D79" s="1050">
        <f t="shared" ref="D79:N79" si="24">(D4/D29-1)</f>
        <v>0</v>
      </c>
      <c r="E79" s="1050">
        <f t="shared" si="24"/>
        <v>0</v>
      </c>
      <c r="F79" s="1050">
        <f t="shared" si="24"/>
        <v>0</v>
      </c>
      <c r="G79" s="1050">
        <f t="shared" si="24"/>
        <v>0</v>
      </c>
      <c r="H79" s="1050">
        <f t="shared" si="24"/>
        <v>0</v>
      </c>
      <c r="I79" s="1050">
        <f t="shared" si="24"/>
        <v>0</v>
      </c>
      <c r="J79" s="1050">
        <f t="shared" si="24"/>
        <v>0</v>
      </c>
      <c r="K79" s="1050">
        <f t="shared" si="24"/>
        <v>0</v>
      </c>
      <c r="L79" s="1050">
        <f t="shared" si="24"/>
        <v>0</v>
      </c>
      <c r="M79" s="1050">
        <f t="shared" si="24"/>
        <v>0</v>
      </c>
      <c r="N79" s="1050">
        <f t="shared" si="24"/>
        <v>0</v>
      </c>
      <c r="O79" s="1050">
        <f t="shared" ref="O79:R79" si="25">(O4/O29-1)</f>
        <v>0</v>
      </c>
      <c r="P79" s="1050">
        <f t="shared" si="25"/>
        <v>0</v>
      </c>
      <c r="Q79" s="1050">
        <f t="shared" si="25"/>
        <v>0</v>
      </c>
      <c r="R79" s="1050">
        <f t="shared" si="25"/>
        <v>0</v>
      </c>
    </row>
    <row r="80" spans="2:18">
      <c r="B80" s="560" t="s">
        <v>6</v>
      </c>
      <c r="C80" s="560" t="s">
        <v>608</v>
      </c>
      <c r="D80" s="1050">
        <f t="shared" ref="D80:N99" si="26">(D5/D30-1)</f>
        <v>0</v>
      </c>
      <c r="E80" s="1050">
        <f t="shared" si="26"/>
        <v>0</v>
      </c>
      <c r="F80" s="1050">
        <f t="shared" si="26"/>
        <v>0</v>
      </c>
      <c r="G80" s="1050">
        <f t="shared" si="26"/>
        <v>0</v>
      </c>
      <c r="H80" s="1050">
        <f t="shared" si="26"/>
        <v>0</v>
      </c>
      <c r="I80" s="1050">
        <f t="shared" si="26"/>
        <v>0</v>
      </c>
      <c r="J80" s="1050">
        <f t="shared" si="26"/>
        <v>0</v>
      </c>
      <c r="K80" s="1050">
        <f t="shared" si="26"/>
        <v>0</v>
      </c>
      <c r="L80" s="1050">
        <f t="shared" si="26"/>
        <v>0</v>
      </c>
      <c r="M80" s="1050">
        <f t="shared" si="26"/>
        <v>0</v>
      </c>
      <c r="N80" s="1050">
        <f t="shared" si="26"/>
        <v>0</v>
      </c>
      <c r="O80" s="1050">
        <f t="shared" ref="O80:R80" si="27">(O5/O30-1)</f>
        <v>0</v>
      </c>
      <c r="P80" s="1050">
        <f t="shared" si="27"/>
        <v>0</v>
      </c>
      <c r="Q80" s="1050">
        <f t="shared" si="27"/>
        <v>0</v>
      </c>
      <c r="R80" s="1050">
        <f t="shared" si="27"/>
        <v>0</v>
      </c>
    </row>
    <row r="81" spans="2:18">
      <c r="B81" s="560" t="s">
        <v>459</v>
      </c>
      <c r="C81" s="560" t="s">
        <v>604</v>
      </c>
      <c r="D81" s="1050">
        <f t="shared" si="26"/>
        <v>-1.9186492709133418E-4</v>
      </c>
      <c r="E81" s="1050">
        <f t="shared" si="26"/>
        <v>-1.918649270914452E-4</v>
      </c>
      <c r="F81" s="1050">
        <f t="shared" si="26"/>
        <v>-1.9186492709133418E-4</v>
      </c>
      <c r="G81" s="1050">
        <f t="shared" si="26"/>
        <v>-1.918649270914452E-4</v>
      </c>
      <c r="H81" s="1050">
        <f t="shared" si="26"/>
        <v>-1.9186492709155623E-4</v>
      </c>
      <c r="I81" s="1050">
        <f t="shared" si="26"/>
        <v>-1.9186492709155623E-4</v>
      </c>
      <c r="J81" s="1050">
        <f t="shared" si="26"/>
        <v>-1.9186492709155623E-4</v>
      </c>
      <c r="K81" s="1050">
        <f t="shared" si="26"/>
        <v>-1.918649270914452E-4</v>
      </c>
      <c r="L81" s="1050">
        <f t="shared" si="26"/>
        <v>-1.918649270914452E-4</v>
      </c>
      <c r="M81" s="1050">
        <f t="shared" si="26"/>
        <v>-1.918649270914452E-4</v>
      </c>
      <c r="N81" s="1050">
        <f t="shared" si="26"/>
        <v>-1.9186492709133418E-4</v>
      </c>
      <c r="O81" s="1050">
        <f t="shared" ref="O81:R81" si="28">(O6/O31-1)</f>
        <v>-1.9186492709133418E-4</v>
      </c>
      <c r="P81" s="1050">
        <f t="shared" si="28"/>
        <v>-1.9186492709133418E-4</v>
      </c>
      <c r="Q81" s="1050">
        <f t="shared" si="28"/>
        <v>-1.9186492709133418E-4</v>
      </c>
      <c r="R81" s="1050">
        <f t="shared" si="28"/>
        <v>-1.918649270914452E-4</v>
      </c>
    </row>
    <row r="82" spans="2:18">
      <c r="B82" s="560" t="s">
        <v>460</v>
      </c>
      <c r="C82" s="560" t="s">
        <v>605</v>
      </c>
      <c r="D82" s="1050">
        <f t="shared" si="26"/>
        <v>-1.0996171703187008E-3</v>
      </c>
      <c r="E82" s="1050">
        <f t="shared" si="26"/>
        <v>-1.0996171703185897E-3</v>
      </c>
      <c r="F82" s="1050">
        <f t="shared" si="26"/>
        <v>-1.0996171703184787E-3</v>
      </c>
      <c r="G82" s="1050">
        <f t="shared" si="26"/>
        <v>-1.0996171703183677E-3</v>
      </c>
      <c r="H82" s="1050">
        <f t="shared" si="26"/>
        <v>-1.0996171703183677E-3</v>
      </c>
      <c r="I82" s="1050">
        <f t="shared" si="26"/>
        <v>-1.0996171703184787E-3</v>
      </c>
      <c r="J82" s="1050">
        <f t="shared" si="26"/>
        <v>-1.0996171703184787E-3</v>
      </c>
      <c r="K82" s="1050">
        <f t="shared" si="26"/>
        <v>-1.0996171703185897E-3</v>
      </c>
      <c r="L82" s="1050">
        <f t="shared" si="26"/>
        <v>-1.0996171703185897E-3</v>
      </c>
      <c r="M82" s="1050">
        <f t="shared" si="26"/>
        <v>-1.0996171703184787E-3</v>
      </c>
      <c r="N82" s="1050">
        <f t="shared" si="26"/>
        <v>-1.0996171703184787E-3</v>
      </c>
      <c r="O82" s="1050">
        <f t="shared" ref="O82:R82" si="29">(O7/O32-1)</f>
        <v>-1.0996171703184787E-3</v>
      </c>
      <c r="P82" s="1050">
        <f t="shared" si="29"/>
        <v>-1.0996171703184787E-3</v>
      </c>
      <c r="Q82" s="1050">
        <f t="shared" si="29"/>
        <v>-1.0996171703184787E-3</v>
      </c>
      <c r="R82" s="1050">
        <f t="shared" si="29"/>
        <v>-1.0996171703184787E-3</v>
      </c>
    </row>
    <row r="83" spans="2:18">
      <c r="B83" s="560" t="s">
        <v>570</v>
      </c>
      <c r="C83" s="560" t="s">
        <v>612</v>
      </c>
      <c r="D83" s="1050">
        <f t="shared" si="26"/>
        <v>0</v>
      </c>
      <c r="E83" s="1050">
        <f t="shared" si="26"/>
        <v>0</v>
      </c>
      <c r="F83" s="1050">
        <f t="shared" si="26"/>
        <v>0</v>
      </c>
      <c r="G83" s="1050">
        <f t="shared" si="26"/>
        <v>0</v>
      </c>
      <c r="H83" s="1050">
        <f t="shared" si="26"/>
        <v>0</v>
      </c>
      <c r="I83" s="1050">
        <f t="shared" si="26"/>
        <v>0</v>
      </c>
      <c r="J83" s="1050">
        <f t="shared" si="26"/>
        <v>0</v>
      </c>
      <c r="K83" s="1050">
        <f t="shared" si="26"/>
        <v>0</v>
      </c>
      <c r="L83" s="1050">
        <f t="shared" si="26"/>
        <v>0</v>
      </c>
      <c r="M83" s="1050">
        <f t="shared" si="26"/>
        <v>0</v>
      </c>
      <c r="N83" s="1050">
        <f t="shared" si="26"/>
        <v>0</v>
      </c>
      <c r="O83" s="1050">
        <f t="shared" ref="O83:R83" si="30">(O8/O33-1)</f>
        <v>0</v>
      </c>
      <c r="P83" s="1050">
        <f t="shared" si="30"/>
        <v>0</v>
      </c>
      <c r="Q83" s="1050">
        <f t="shared" si="30"/>
        <v>0</v>
      </c>
      <c r="R83" s="1050">
        <f t="shared" si="30"/>
        <v>0</v>
      </c>
    </row>
    <row r="84" spans="2:18">
      <c r="B84" s="560" t="s">
        <v>611</v>
      </c>
      <c r="C84" s="560" t="s">
        <v>613</v>
      </c>
      <c r="D84" s="1050">
        <f t="shared" si="26"/>
        <v>0</v>
      </c>
      <c r="E84" s="1050">
        <f t="shared" si="26"/>
        <v>0</v>
      </c>
      <c r="F84" s="1050">
        <f t="shared" si="26"/>
        <v>0</v>
      </c>
      <c r="G84" s="1050">
        <f t="shared" si="26"/>
        <v>0</v>
      </c>
      <c r="H84" s="1050">
        <f t="shared" si="26"/>
        <v>0</v>
      </c>
      <c r="I84" s="1050">
        <f t="shared" si="26"/>
        <v>0</v>
      </c>
      <c r="J84" s="1050">
        <f t="shared" si="26"/>
        <v>0</v>
      </c>
      <c r="K84" s="1050">
        <f t="shared" si="26"/>
        <v>0</v>
      </c>
      <c r="L84" s="1050">
        <f t="shared" si="26"/>
        <v>0</v>
      </c>
      <c r="M84" s="1050">
        <f t="shared" si="26"/>
        <v>0</v>
      </c>
      <c r="N84" s="1050">
        <f t="shared" si="26"/>
        <v>0</v>
      </c>
      <c r="O84" s="1050">
        <f t="shared" ref="O84:R84" si="31">(O9/O34-1)</f>
        <v>0</v>
      </c>
      <c r="P84" s="1050">
        <f t="shared" si="31"/>
        <v>0</v>
      </c>
      <c r="Q84" s="1050">
        <f t="shared" si="31"/>
        <v>0</v>
      </c>
      <c r="R84" s="1050">
        <f t="shared" si="31"/>
        <v>0</v>
      </c>
    </row>
    <row r="85" spans="2:18">
      <c r="B85" s="560" t="s">
        <v>133</v>
      </c>
      <c r="C85" s="560" t="s">
        <v>606</v>
      </c>
      <c r="D85" s="1050">
        <f t="shared" si="26"/>
        <v>-3.9497431987565168E-3</v>
      </c>
      <c r="E85" s="1050" t="e">
        <f t="shared" si="26"/>
        <v>#DIV/0!</v>
      </c>
      <c r="F85" s="1050" t="e">
        <f t="shared" si="26"/>
        <v>#DIV/0!</v>
      </c>
      <c r="G85" s="1050" t="e">
        <f t="shared" si="26"/>
        <v>#DIV/0!</v>
      </c>
      <c r="H85" s="1050" t="e">
        <f t="shared" si="26"/>
        <v>#DIV/0!</v>
      </c>
      <c r="I85" s="1050" t="e">
        <f t="shared" si="26"/>
        <v>#DIV/0!</v>
      </c>
      <c r="J85" s="1050" t="e">
        <f t="shared" si="26"/>
        <v>#DIV/0!</v>
      </c>
      <c r="K85" s="1050" t="e">
        <f t="shared" si="26"/>
        <v>#DIV/0!</v>
      </c>
      <c r="L85" s="1050" t="e">
        <f t="shared" si="26"/>
        <v>#DIV/0!</v>
      </c>
      <c r="M85" s="1050" t="e">
        <f t="shared" si="26"/>
        <v>#DIV/0!</v>
      </c>
      <c r="N85" s="1050" t="e">
        <f t="shared" si="26"/>
        <v>#DIV/0!</v>
      </c>
      <c r="O85" s="1050" t="e">
        <f t="shared" ref="O85:R85" si="32">(O10/O35-1)</f>
        <v>#DIV/0!</v>
      </c>
      <c r="P85" s="1050" t="e">
        <f t="shared" si="32"/>
        <v>#DIV/0!</v>
      </c>
      <c r="Q85" s="1050" t="e">
        <f t="shared" si="32"/>
        <v>#DIV/0!</v>
      </c>
      <c r="R85" s="1050" t="e">
        <f t="shared" si="32"/>
        <v>#DIV/0!</v>
      </c>
    </row>
    <row r="86" spans="2:18">
      <c r="B86" s="560" t="s">
        <v>134</v>
      </c>
      <c r="C86" s="560" t="s">
        <v>607</v>
      </c>
      <c r="D86" s="1050">
        <f t="shared" si="26"/>
        <v>2.2222222222230137E-3</v>
      </c>
      <c r="E86" s="1050">
        <f t="shared" si="26"/>
        <v>2.2222222222230137E-3</v>
      </c>
      <c r="F86" s="1050">
        <f t="shared" si="26"/>
        <v>2.2222222222230137E-3</v>
      </c>
      <c r="G86" s="1050">
        <f t="shared" si="26"/>
        <v>2.2222222222230137E-3</v>
      </c>
      <c r="H86" s="1050">
        <f t="shared" si="26"/>
        <v>2.2222222222227916E-3</v>
      </c>
      <c r="I86" s="1050">
        <f t="shared" si="26"/>
        <v>2.2222222222230137E-3</v>
      </c>
      <c r="J86" s="1050">
        <f t="shared" si="26"/>
        <v>2.2222222222230137E-3</v>
      </c>
      <c r="K86" s="1050">
        <f t="shared" si="26"/>
        <v>2.2222222222230137E-3</v>
      </c>
      <c r="L86" s="1050">
        <f t="shared" si="26"/>
        <v>2.2222222222230137E-3</v>
      </c>
      <c r="M86" s="1050">
        <f t="shared" si="26"/>
        <v>2.2222222222230137E-3</v>
      </c>
      <c r="N86" s="1050">
        <f t="shared" si="26"/>
        <v>2.2222222222230137E-3</v>
      </c>
      <c r="O86" s="1050">
        <f t="shared" ref="O86:R86" si="33">(O11/O36-1)</f>
        <v>2.2222222222232357E-3</v>
      </c>
      <c r="P86" s="1050">
        <f t="shared" si="33"/>
        <v>2.2222222222232357E-3</v>
      </c>
      <c r="Q86" s="1050">
        <f t="shared" si="33"/>
        <v>2.2222222222232357E-3</v>
      </c>
      <c r="R86" s="1050">
        <f t="shared" si="33"/>
        <v>2.2222222222230137E-3</v>
      </c>
    </row>
    <row r="87" spans="2:18">
      <c r="B87" s="560" t="s">
        <v>140</v>
      </c>
      <c r="C87" s="560" t="s">
        <v>610</v>
      </c>
      <c r="D87" s="1050">
        <f t="shared" si="26"/>
        <v>2.3122877212029547E-3</v>
      </c>
      <c r="E87" s="1050">
        <f t="shared" si="26"/>
        <v>4.0403171799408E-4</v>
      </c>
      <c r="F87" s="1050">
        <f t="shared" si="26"/>
        <v>2.9436031916364902E-2</v>
      </c>
      <c r="G87" s="1050">
        <f t="shared" si="26"/>
        <v>2.7476136271175955E-2</v>
      </c>
      <c r="H87" s="1050">
        <f t="shared" si="26"/>
        <v>2.5489532431594242E-2</v>
      </c>
      <c r="I87" s="1050">
        <f t="shared" si="26"/>
        <v>2.5636157388404301E-2</v>
      </c>
      <c r="J87" s="1050">
        <f t="shared" si="26"/>
        <v>2.5636157388404079E-2</v>
      </c>
      <c r="K87" s="1050">
        <f t="shared" si="26"/>
        <v>2.5636157388404079E-2</v>
      </c>
      <c r="L87" s="1050">
        <f t="shared" si="26"/>
        <v>2.5636157388404079E-2</v>
      </c>
      <c r="M87" s="1050">
        <f t="shared" si="26"/>
        <v>2.5636157388404079E-2</v>
      </c>
      <c r="N87" s="1050">
        <f t="shared" si="26"/>
        <v>2.5636157388404079E-2</v>
      </c>
      <c r="O87" s="1050">
        <f t="shared" ref="O87:R87" si="34">(O12/O37-1)</f>
        <v>2.5636157388404079E-2</v>
      </c>
      <c r="P87" s="1050">
        <f t="shared" si="34"/>
        <v>2.5636157388404079E-2</v>
      </c>
      <c r="Q87" s="1050">
        <f t="shared" si="34"/>
        <v>2.5636157388404079E-2</v>
      </c>
      <c r="R87" s="1050">
        <f t="shared" si="34"/>
        <v>2.5636157388404079E-2</v>
      </c>
    </row>
    <row r="88" spans="2:18">
      <c r="B88" s="560" t="s">
        <v>139</v>
      </c>
      <c r="C88" s="560" t="s">
        <v>73</v>
      </c>
      <c r="D88" s="1050">
        <f t="shared" si="26"/>
        <v>3.3669456377975582E-2</v>
      </c>
      <c r="E88" s="1050">
        <f t="shared" si="26"/>
        <v>3.1701500911768932E-2</v>
      </c>
      <c r="F88" s="1050">
        <f t="shared" si="26"/>
        <v>2.9737292144947691E-2</v>
      </c>
      <c r="G88" s="1050">
        <f t="shared" si="26"/>
        <v>2.7776822944344026E-2</v>
      </c>
      <c r="H88" s="1050">
        <f t="shared" si="26"/>
        <v>2.5820086190371239E-2</v>
      </c>
      <c r="I88" s="1050">
        <f t="shared" si="26"/>
        <v>2.5820086190371239E-2</v>
      </c>
      <c r="J88" s="1050">
        <f t="shared" si="26"/>
        <v>2.5820086190371017E-2</v>
      </c>
      <c r="K88" s="1050">
        <f t="shared" si="26"/>
        <v>2.5820086190371017E-2</v>
      </c>
      <c r="L88" s="1050">
        <f t="shared" si="26"/>
        <v>2.5820086190371017E-2</v>
      </c>
      <c r="M88" s="1050">
        <f t="shared" si="26"/>
        <v>2.5820086190371017E-2</v>
      </c>
      <c r="N88" s="1050">
        <f t="shared" si="26"/>
        <v>2.5820086190371017E-2</v>
      </c>
      <c r="O88" s="1050">
        <f t="shared" ref="O88:R88" si="35">(O13/O38-1)</f>
        <v>2.5820086190371017E-2</v>
      </c>
      <c r="P88" s="1050">
        <f t="shared" si="35"/>
        <v>2.5820086190371017E-2</v>
      </c>
      <c r="Q88" s="1050">
        <f t="shared" si="35"/>
        <v>2.5820086190371017E-2</v>
      </c>
      <c r="R88" s="1050">
        <f t="shared" si="35"/>
        <v>2.5820086190371017E-2</v>
      </c>
    </row>
    <row r="89" spans="2:18">
      <c r="B89" s="560" t="s">
        <v>385</v>
      </c>
      <c r="C89" s="560" t="s">
        <v>74</v>
      </c>
      <c r="D89" s="1050">
        <f t="shared" si="26"/>
        <v>0</v>
      </c>
      <c r="E89" s="1050">
        <f t="shared" si="26"/>
        <v>0</v>
      </c>
      <c r="F89" s="1050">
        <f t="shared" si="26"/>
        <v>0</v>
      </c>
      <c r="G89" s="1050">
        <f t="shared" si="26"/>
        <v>0</v>
      </c>
      <c r="H89" s="1050">
        <f t="shared" si="26"/>
        <v>0</v>
      </c>
      <c r="I89" s="1050">
        <f t="shared" si="26"/>
        <v>0</v>
      </c>
      <c r="J89" s="1050">
        <f t="shared" si="26"/>
        <v>0</v>
      </c>
      <c r="K89" s="1050">
        <f t="shared" si="26"/>
        <v>0</v>
      </c>
      <c r="L89" s="1050">
        <f t="shared" si="26"/>
        <v>0</v>
      </c>
      <c r="M89" s="1050">
        <f t="shared" si="26"/>
        <v>0</v>
      </c>
      <c r="N89" s="1050">
        <f t="shared" si="26"/>
        <v>0</v>
      </c>
      <c r="O89" s="1050">
        <f t="shared" ref="O89:R89" si="36">(O14/O39-1)</f>
        <v>0</v>
      </c>
      <c r="P89" s="1050">
        <f t="shared" si="36"/>
        <v>0</v>
      </c>
      <c r="Q89" s="1050">
        <f t="shared" si="36"/>
        <v>0</v>
      </c>
      <c r="R89" s="1050">
        <f t="shared" si="36"/>
        <v>0</v>
      </c>
    </row>
    <row r="90" spans="2:18">
      <c r="B90" s="560" t="s">
        <v>463</v>
      </c>
      <c r="C90" s="560" t="s">
        <v>618</v>
      </c>
      <c r="D90" s="1050" t="e">
        <f t="shared" si="26"/>
        <v>#DIV/0!</v>
      </c>
      <c r="E90" s="1050" t="e">
        <f t="shared" si="26"/>
        <v>#DIV/0!</v>
      </c>
      <c r="F90" s="1050" t="e">
        <f t="shared" si="26"/>
        <v>#DIV/0!</v>
      </c>
      <c r="G90" s="1050" t="e">
        <f t="shared" si="26"/>
        <v>#DIV/0!</v>
      </c>
      <c r="H90" s="1050" t="e">
        <f t="shared" si="26"/>
        <v>#DIV/0!</v>
      </c>
      <c r="I90" s="1050" t="e">
        <f t="shared" si="26"/>
        <v>#DIV/0!</v>
      </c>
      <c r="J90" s="1050" t="e">
        <f t="shared" si="26"/>
        <v>#DIV/0!</v>
      </c>
      <c r="K90" s="1050" t="e">
        <f t="shared" si="26"/>
        <v>#DIV/0!</v>
      </c>
      <c r="L90" s="1050" t="e">
        <f t="shared" si="26"/>
        <v>#DIV/0!</v>
      </c>
      <c r="M90" s="1050" t="e">
        <f t="shared" si="26"/>
        <v>#DIV/0!</v>
      </c>
      <c r="N90" s="1050" t="e">
        <f t="shared" si="26"/>
        <v>#DIV/0!</v>
      </c>
      <c r="O90" s="1050" t="e">
        <f t="shared" ref="O90:R90" si="37">(O15/O40-1)</f>
        <v>#DIV/0!</v>
      </c>
      <c r="P90" s="1050" t="e">
        <f t="shared" si="37"/>
        <v>#DIV/0!</v>
      </c>
      <c r="Q90" s="1050" t="e">
        <f t="shared" si="37"/>
        <v>#DIV/0!</v>
      </c>
      <c r="R90" s="1050" t="e">
        <f t="shared" si="37"/>
        <v>#DIV/0!</v>
      </c>
    </row>
    <row r="91" spans="2:18">
      <c r="B91" s="560" t="s">
        <v>464</v>
      </c>
      <c r="C91" s="560" t="s">
        <v>619</v>
      </c>
      <c r="D91" s="1050" t="e">
        <f t="shared" si="26"/>
        <v>#DIV/0!</v>
      </c>
      <c r="E91" s="1050" t="e">
        <f t="shared" si="26"/>
        <v>#DIV/0!</v>
      </c>
      <c r="F91" s="1050">
        <f t="shared" si="26"/>
        <v>0</v>
      </c>
      <c r="G91" s="1050">
        <f t="shared" si="26"/>
        <v>0</v>
      </c>
      <c r="H91" s="1050" t="e">
        <f t="shared" si="26"/>
        <v>#DIV/0!</v>
      </c>
      <c r="I91" s="1050" t="e">
        <f t="shared" si="26"/>
        <v>#DIV/0!</v>
      </c>
      <c r="J91" s="1050" t="e">
        <f t="shared" si="26"/>
        <v>#DIV/0!</v>
      </c>
      <c r="K91" s="1050" t="e">
        <f t="shared" si="26"/>
        <v>#DIV/0!</v>
      </c>
      <c r="L91" s="1050" t="e">
        <f t="shared" si="26"/>
        <v>#DIV/0!</v>
      </c>
      <c r="M91" s="1050" t="e">
        <f t="shared" si="26"/>
        <v>#DIV/0!</v>
      </c>
      <c r="N91" s="1050" t="e">
        <f t="shared" si="26"/>
        <v>#DIV/0!</v>
      </c>
      <c r="O91" s="1050" t="e">
        <f t="shared" ref="O91:R91" si="38">(O16/O41-1)</f>
        <v>#DIV/0!</v>
      </c>
      <c r="P91" s="1050" t="e">
        <f t="shared" si="38"/>
        <v>#DIV/0!</v>
      </c>
      <c r="Q91" s="1050" t="e">
        <f t="shared" si="38"/>
        <v>#DIV/0!</v>
      </c>
      <c r="R91" s="1050" t="e">
        <f t="shared" si="38"/>
        <v>#DIV/0!</v>
      </c>
    </row>
    <row r="92" spans="2:18">
      <c r="B92" s="560" t="s">
        <v>461</v>
      </c>
      <c r="C92" s="560" t="s">
        <v>617</v>
      </c>
      <c r="D92" s="1050">
        <f t="shared" si="26"/>
        <v>0</v>
      </c>
      <c r="E92" s="1050">
        <f t="shared" si="26"/>
        <v>0</v>
      </c>
      <c r="F92" s="1050">
        <f t="shared" si="26"/>
        <v>0</v>
      </c>
      <c r="G92" s="1050">
        <f t="shared" si="26"/>
        <v>0</v>
      </c>
      <c r="H92" s="1050">
        <f t="shared" si="26"/>
        <v>0</v>
      </c>
      <c r="I92" s="1050">
        <f t="shared" si="26"/>
        <v>0</v>
      </c>
      <c r="J92" s="1050">
        <f t="shared" si="26"/>
        <v>0</v>
      </c>
      <c r="K92" s="1050">
        <f t="shared" si="26"/>
        <v>0</v>
      </c>
      <c r="L92" s="1050">
        <f t="shared" si="26"/>
        <v>0</v>
      </c>
      <c r="M92" s="1050">
        <f t="shared" si="26"/>
        <v>0</v>
      </c>
      <c r="N92" s="1050">
        <f t="shared" si="26"/>
        <v>0</v>
      </c>
      <c r="O92" s="1050">
        <f t="shared" ref="O92:R92" si="39">(O17/O42-1)</f>
        <v>0</v>
      </c>
      <c r="P92" s="1050">
        <f t="shared" si="39"/>
        <v>0</v>
      </c>
      <c r="Q92" s="1050">
        <f t="shared" si="39"/>
        <v>0</v>
      </c>
      <c r="R92" s="1050">
        <f t="shared" si="39"/>
        <v>0</v>
      </c>
    </row>
    <row r="93" spans="2:18">
      <c r="B93" s="560" t="s">
        <v>462</v>
      </c>
      <c r="C93" s="560" t="s">
        <v>616</v>
      </c>
      <c r="D93" s="1050">
        <f t="shared" si="26"/>
        <v>0</v>
      </c>
      <c r="E93" s="1050">
        <f t="shared" si="26"/>
        <v>0</v>
      </c>
      <c r="F93" s="1050">
        <f t="shared" si="26"/>
        <v>0</v>
      </c>
      <c r="G93" s="1050">
        <f t="shared" si="26"/>
        <v>0</v>
      </c>
      <c r="H93" s="1050">
        <f t="shared" si="26"/>
        <v>0</v>
      </c>
      <c r="I93" s="1050">
        <f t="shared" si="26"/>
        <v>0</v>
      </c>
      <c r="J93" s="1050">
        <f t="shared" si="26"/>
        <v>0</v>
      </c>
      <c r="K93" s="1050">
        <f t="shared" si="26"/>
        <v>0</v>
      </c>
      <c r="L93" s="1050">
        <f t="shared" si="26"/>
        <v>0</v>
      </c>
      <c r="M93" s="1050">
        <f t="shared" si="26"/>
        <v>0</v>
      </c>
      <c r="N93" s="1050">
        <f t="shared" si="26"/>
        <v>0</v>
      </c>
      <c r="O93" s="1050">
        <f t="shared" ref="O93:R93" si="40">(O18/O43-1)</f>
        <v>0</v>
      </c>
      <c r="P93" s="1050">
        <f t="shared" si="40"/>
        <v>0</v>
      </c>
      <c r="Q93" s="1050">
        <f t="shared" si="40"/>
        <v>0</v>
      </c>
      <c r="R93" s="1050">
        <f t="shared" si="40"/>
        <v>0</v>
      </c>
    </row>
    <row r="94" spans="2:18">
      <c r="B94" s="560" t="s">
        <v>555</v>
      </c>
      <c r="C94" s="560" t="s">
        <v>614</v>
      </c>
      <c r="D94" s="1050">
        <f t="shared" si="26"/>
        <v>0</v>
      </c>
      <c r="E94" s="1050">
        <f t="shared" si="26"/>
        <v>0</v>
      </c>
      <c r="F94" s="1050">
        <f t="shared" si="26"/>
        <v>0</v>
      </c>
      <c r="G94" s="1050">
        <f t="shared" si="26"/>
        <v>0</v>
      </c>
      <c r="H94" s="1050">
        <f t="shared" si="26"/>
        <v>0</v>
      </c>
      <c r="I94" s="1050">
        <f t="shared" si="26"/>
        <v>0</v>
      </c>
      <c r="J94" s="1050">
        <f t="shared" si="26"/>
        <v>0</v>
      </c>
      <c r="K94" s="1050">
        <f t="shared" si="26"/>
        <v>0</v>
      </c>
      <c r="L94" s="1050">
        <f t="shared" si="26"/>
        <v>0</v>
      </c>
      <c r="M94" s="1050">
        <f t="shared" si="26"/>
        <v>0</v>
      </c>
      <c r="N94" s="1050">
        <f t="shared" si="26"/>
        <v>0</v>
      </c>
      <c r="O94" s="1050">
        <f t="shared" ref="O94:R94" si="41">(O19/O44-1)</f>
        <v>0</v>
      </c>
      <c r="P94" s="1050">
        <f t="shared" si="41"/>
        <v>0</v>
      </c>
      <c r="Q94" s="1050">
        <f t="shared" si="41"/>
        <v>0</v>
      </c>
      <c r="R94" s="1050">
        <f t="shared" si="41"/>
        <v>0</v>
      </c>
    </row>
    <row r="95" spans="2:18">
      <c r="B95" s="560" t="s">
        <v>556</v>
      </c>
      <c r="C95" s="560" t="s">
        <v>615</v>
      </c>
      <c r="D95" s="1050">
        <f t="shared" si="26"/>
        <v>0</v>
      </c>
      <c r="E95" s="1050">
        <f t="shared" si="26"/>
        <v>0</v>
      </c>
      <c r="F95" s="1050">
        <f t="shared" si="26"/>
        <v>0</v>
      </c>
      <c r="G95" s="1050">
        <f t="shared" si="26"/>
        <v>0</v>
      </c>
      <c r="H95" s="1050">
        <f t="shared" si="26"/>
        <v>0</v>
      </c>
      <c r="I95" s="1050">
        <f t="shared" si="26"/>
        <v>0</v>
      </c>
      <c r="J95" s="1050">
        <f t="shared" si="26"/>
        <v>0</v>
      </c>
      <c r="K95" s="1050">
        <f t="shared" si="26"/>
        <v>0</v>
      </c>
      <c r="L95" s="1050">
        <f t="shared" si="26"/>
        <v>0</v>
      </c>
      <c r="M95" s="1050">
        <f t="shared" si="26"/>
        <v>0</v>
      </c>
      <c r="N95" s="1050">
        <f t="shared" si="26"/>
        <v>0</v>
      </c>
      <c r="O95" s="1050">
        <f t="shared" ref="O95:R95" si="42">(O20/O45-1)</f>
        <v>0</v>
      </c>
      <c r="P95" s="1050">
        <f t="shared" si="42"/>
        <v>0</v>
      </c>
      <c r="Q95" s="1050">
        <f t="shared" si="42"/>
        <v>0</v>
      </c>
      <c r="R95" s="1050">
        <f t="shared" si="42"/>
        <v>0</v>
      </c>
    </row>
    <row r="96" spans="2:18">
      <c r="B96" s="560" t="s">
        <v>622</v>
      </c>
      <c r="C96" s="560" t="s">
        <v>624</v>
      </c>
      <c r="D96" s="1050">
        <f t="shared" si="26"/>
        <v>3.3907914863590349E-2</v>
      </c>
      <c r="E96" s="1050">
        <f t="shared" si="26"/>
        <v>3.3842326110059995E-2</v>
      </c>
      <c r="F96" s="1050">
        <f t="shared" si="26"/>
        <v>3.4062861209809947E-2</v>
      </c>
      <c r="G96" s="1050">
        <f t="shared" si="26"/>
        <v>3.4086870438834849E-2</v>
      </c>
      <c r="H96" s="1050">
        <f t="shared" si="26"/>
        <v>3.4108097281305039E-2</v>
      </c>
      <c r="I96" s="1050">
        <f t="shared" si="26"/>
        <v>3.4125940813768407E-2</v>
      </c>
      <c r="J96" s="1050">
        <f t="shared" si="26"/>
        <v>3.419627330958197E-2</v>
      </c>
      <c r="K96" s="1050">
        <f t="shared" si="26"/>
        <v>3.4215874988886119E-2</v>
      </c>
      <c r="L96" s="1050">
        <f t="shared" si="26"/>
        <v>3.4227547149466853E-2</v>
      </c>
      <c r="M96" s="1050">
        <f t="shared" si="26"/>
        <v>3.4229571509110324E-2</v>
      </c>
      <c r="N96" s="1050">
        <f t="shared" si="26"/>
        <v>3.4240075342005571E-2</v>
      </c>
      <c r="O96" s="1050">
        <f t="shared" ref="O96:R96" si="43">(O21/O46-1)</f>
        <v>3.4236050450082711E-2</v>
      </c>
      <c r="P96" s="1050">
        <f t="shared" si="43"/>
        <v>3.4237160666135358E-2</v>
      </c>
      <c r="Q96" s="1050">
        <f t="shared" si="43"/>
        <v>3.4243559216042163E-2</v>
      </c>
      <c r="R96" s="1050">
        <f t="shared" si="43"/>
        <v>3.4255514604910831E-2</v>
      </c>
    </row>
    <row r="97" spans="2:18">
      <c r="B97" s="560" t="s">
        <v>623</v>
      </c>
      <c r="C97" s="560" t="s">
        <v>625</v>
      </c>
      <c r="D97" s="1050">
        <f t="shared" si="26"/>
        <v>2.0085905490598854E-3</v>
      </c>
      <c r="E97" s="1050">
        <f t="shared" si="26"/>
        <v>2.0040630199942289E-3</v>
      </c>
      <c r="F97" s="1050">
        <f t="shared" si="26"/>
        <v>2.0050196512362284E-3</v>
      </c>
      <c r="G97" s="1050">
        <f t="shared" si="26"/>
        <v>2.0067771947351876E-3</v>
      </c>
      <c r="H97" s="1050">
        <f t="shared" si="26"/>
        <v>2.0050267502838004E-3</v>
      </c>
      <c r="I97" s="1050">
        <f t="shared" si="26"/>
        <v>2.003774171517092E-3</v>
      </c>
      <c r="J97" s="1050">
        <f t="shared" si="26"/>
        <v>2.003781372011515E-3</v>
      </c>
      <c r="K97" s="1050">
        <f t="shared" si="26"/>
        <v>2.0043525587685185E-3</v>
      </c>
      <c r="L97" s="1050">
        <f t="shared" si="26"/>
        <v>2.0043648594267882E-3</v>
      </c>
      <c r="M97" s="1050">
        <f t="shared" si="26"/>
        <v>2.004420700185916E-3</v>
      </c>
      <c r="N97" s="1050">
        <f t="shared" si="26"/>
        <v>2.0052498668721164E-3</v>
      </c>
      <c r="O97" s="1050">
        <f t="shared" ref="O97:R97" si="44">(O22/O47-1)</f>
        <v>2.0050246949505635E-3</v>
      </c>
      <c r="P97" s="1050">
        <f t="shared" si="44"/>
        <v>2.0051552578124188E-3</v>
      </c>
      <c r="Q97" s="1050">
        <f t="shared" si="44"/>
        <v>2.0064400808241789E-3</v>
      </c>
      <c r="R97" s="1050">
        <f t="shared" si="44"/>
        <v>2.0074091380237746E-3</v>
      </c>
    </row>
    <row r="98" spans="2:18">
      <c r="B98" s="560" t="s">
        <v>620</v>
      </c>
      <c r="C98" s="560" t="s">
        <v>626</v>
      </c>
      <c r="D98" s="1050">
        <f t="shared" si="26"/>
        <v>0.14695550351288222</v>
      </c>
      <c r="E98" s="1050">
        <f t="shared" si="26"/>
        <v>0.14695550351288222</v>
      </c>
      <c r="F98" s="1050">
        <f t="shared" si="26"/>
        <v>0</v>
      </c>
      <c r="G98" s="1050">
        <f t="shared" si="26"/>
        <v>0</v>
      </c>
      <c r="H98" s="1050">
        <f t="shared" si="26"/>
        <v>0</v>
      </c>
      <c r="I98" s="1050">
        <f t="shared" si="26"/>
        <v>0</v>
      </c>
      <c r="J98" s="1050">
        <f t="shared" si="26"/>
        <v>0</v>
      </c>
      <c r="K98" s="1050">
        <f t="shared" si="26"/>
        <v>0</v>
      </c>
      <c r="L98" s="1050">
        <f t="shared" si="26"/>
        <v>0</v>
      </c>
      <c r="M98" s="1050">
        <f t="shared" si="26"/>
        <v>0</v>
      </c>
      <c r="N98" s="1050">
        <f t="shared" si="26"/>
        <v>0</v>
      </c>
      <c r="O98" s="1050">
        <f t="shared" ref="O98:R98" si="45">(O23/O48-1)</f>
        <v>0</v>
      </c>
      <c r="P98" s="1050">
        <f t="shared" si="45"/>
        <v>0</v>
      </c>
      <c r="Q98" s="1050">
        <f t="shared" si="45"/>
        <v>0</v>
      </c>
      <c r="R98" s="1050">
        <f t="shared" si="45"/>
        <v>0</v>
      </c>
    </row>
    <row r="99" spans="2:18">
      <c r="B99" s="560" t="s">
        <v>621</v>
      </c>
      <c r="C99" s="560" t="s">
        <v>627</v>
      </c>
      <c r="D99" s="1050">
        <f t="shared" si="26"/>
        <v>0</v>
      </c>
      <c r="E99" s="1050">
        <f t="shared" si="26"/>
        <v>0</v>
      </c>
      <c r="F99" s="1050">
        <f t="shared" si="26"/>
        <v>0</v>
      </c>
      <c r="G99" s="1050">
        <f t="shared" si="26"/>
        <v>0</v>
      </c>
      <c r="H99" s="1050">
        <f t="shared" si="26"/>
        <v>0</v>
      </c>
      <c r="I99" s="1050">
        <f t="shared" si="26"/>
        <v>0</v>
      </c>
      <c r="J99" s="1050">
        <f t="shared" si="26"/>
        <v>0</v>
      </c>
      <c r="K99" s="1050">
        <f t="shared" si="26"/>
        <v>0</v>
      </c>
      <c r="L99" s="1050">
        <f t="shared" si="26"/>
        <v>0</v>
      </c>
      <c r="M99" s="1050">
        <f t="shared" si="26"/>
        <v>0</v>
      </c>
      <c r="N99" s="1050">
        <f t="shared" si="26"/>
        <v>0</v>
      </c>
      <c r="O99" s="1050">
        <f t="shared" ref="O99:R99" si="46">(O24/O49-1)</f>
        <v>0</v>
      </c>
      <c r="P99" s="1050">
        <f t="shared" si="46"/>
        <v>0</v>
      </c>
      <c r="Q99" s="1050">
        <f t="shared" si="46"/>
        <v>0</v>
      </c>
      <c r="R99" s="1050">
        <f t="shared" si="46"/>
        <v>0</v>
      </c>
    </row>
  </sheetData>
  <mergeCells count="4">
    <mergeCell ref="B2:R2"/>
    <mergeCell ref="B77:R77"/>
    <mergeCell ref="B52:R52"/>
    <mergeCell ref="B27:R27"/>
  </mergeCells>
  <conditionalFormatting sqref="D54:R74 D79:R99">
    <cfRule type="cellIs" dxfId="7" priority="3" operator="lessThan">
      <formula>0</formula>
    </cfRule>
    <cfRule type="cellIs" dxfId="6" priority="4" operator="greaterThan">
      <formula>0</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72FFF-7B79-451F-9979-B5B4C91C6FFA}">
  <dimension ref="A1:Q22"/>
  <sheetViews>
    <sheetView zoomScaleNormal="100" workbookViewId="0">
      <selection activeCell="D11" sqref="D11"/>
    </sheetView>
  </sheetViews>
  <sheetFormatPr baseColWidth="10" defaultColWidth="8.83203125" defaultRowHeight="15"/>
  <cols>
    <col min="1" max="1" width="41.1640625" customWidth="1"/>
    <col min="2" max="2" width="23.5" style="261" customWidth="1"/>
    <col min="3" max="13" width="10.33203125" bestFit="1" customWidth="1"/>
  </cols>
  <sheetData>
    <row r="1" spans="1:17" s="392" customFormat="1">
      <c r="A1" s="392" t="s">
        <v>629</v>
      </c>
      <c r="B1" s="392" t="s">
        <v>628</v>
      </c>
      <c r="C1" s="395" t="s">
        <v>153</v>
      </c>
      <c r="D1" s="395" t="s">
        <v>154</v>
      </c>
      <c r="E1" s="395" t="s">
        <v>155</v>
      </c>
      <c r="F1" s="395" t="s">
        <v>156</v>
      </c>
      <c r="G1" s="395" t="s">
        <v>157</v>
      </c>
      <c r="H1" s="395" t="s">
        <v>158</v>
      </c>
      <c r="I1" s="395" t="s">
        <v>159</v>
      </c>
      <c r="J1" s="395" t="s">
        <v>160</v>
      </c>
      <c r="K1" s="395" t="s">
        <v>161</v>
      </c>
      <c r="L1" s="395" t="s">
        <v>162</v>
      </c>
      <c r="M1" s="395" t="s">
        <v>163</v>
      </c>
      <c r="N1" s="395" t="s">
        <v>164</v>
      </c>
      <c r="O1" s="395" t="s">
        <v>165</v>
      </c>
      <c r="P1" s="395" t="s">
        <v>166</v>
      </c>
      <c r="Q1" s="395" t="s">
        <v>167</v>
      </c>
    </row>
    <row r="2" spans="1:17">
      <c r="A2" t="s">
        <v>0</v>
      </c>
      <c r="B2" s="261" t="s">
        <v>609</v>
      </c>
      <c r="C2" s="296">
        <f>Grants!O74</f>
        <v>357.37317644110277</v>
      </c>
      <c r="D2" s="296">
        <f>Grants!P74</f>
        <v>393.13708782957406</v>
      </c>
      <c r="E2" s="296">
        <f>Grants!Q74</f>
        <v>401.59684440561404</v>
      </c>
      <c r="F2" s="296">
        <f>Grants!R74</f>
        <v>419.69377636126723</v>
      </c>
      <c r="G2" s="296">
        <f>Grants!S74</f>
        <v>438.34081535917659</v>
      </c>
      <c r="H2" s="296">
        <f>Grants!T74</f>
        <v>458.27990750346845</v>
      </c>
      <c r="I2" s="296">
        <f>Grants!U74</f>
        <v>478.97760180360723</v>
      </c>
      <c r="J2" s="296">
        <f>Grants!V74</f>
        <v>471.71644350775153</v>
      </c>
      <c r="K2" s="296">
        <f>Grants!W74</f>
        <v>479.39300748806158</v>
      </c>
      <c r="L2" s="296">
        <f>Grants!X74</f>
        <v>492.73634954758404</v>
      </c>
      <c r="M2" s="296">
        <f>Grants!Y74</f>
        <v>481.54983616948743</v>
      </c>
      <c r="N2" s="572">
        <f>Grants!Z74</f>
        <v>473.87554213626697</v>
      </c>
      <c r="O2" s="572">
        <f>Grants!AA74</f>
        <v>489.00698046171772</v>
      </c>
      <c r="P2" s="572">
        <f>Grants!AB74</f>
        <v>503.86304218018643</v>
      </c>
      <c r="Q2" s="572">
        <f>Grants!AC74</f>
        <v>511.23178213939389</v>
      </c>
    </row>
    <row r="3" spans="1:17">
      <c r="A3" t="s">
        <v>6</v>
      </c>
      <c r="B3" s="261" t="s">
        <v>608</v>
      </c>
      <c r="C3" s="296">
        <f>Grants!O93</f>
        <v>75.205285714285722</v>
      </c>
      <c r="D3" s="296">
        <f>Grants!P93</f>
        <v>75.205285714285722</v>
      </c>
      <c r="E3" s="296">
        <f>Grants!Q93</f>
        <v>75.205285714285722</v>
      </c>
      <c r="F3" s="296">
        <f>Grants!R93</f>
        <v>75.205285714285722</v>
      </c>
      <c r="G3" s="296">
        <f>Grants!S93</f>
        <v>75.205285714285722</v>
      </c>
      <c r="H3" s="296">
        <f>Grants!T93</f>
        <v>75.205285714285722</v>
      </c>
      <c r="I3" s="296">
        <f>Grants!U93</f>
        <v>75.205285714285722</v>
      </c>
      <c r="J3" s="296">
        <f>Grants!V93</f>
        <v>75.205285714285722</v>
      </c>
      <c r="K3" s="296">
        <f>Grants!W93</f>
        <v>75.205285714285722</v>
      </c>
      <c r="L3" s="296">
        <f>Grants!X93</f>
        <v>75.205285714285722</v>
      </c>
      <c r="M3" s="296">
        <f>Grants!Y93</f>
        <v>75.205285714285722</v>
      </c>
      <c r="N3" s="572">
        <f>Grants!Z93</f>
        <v>75.205285714285722</v>
      </c>
      <c r="O3" s="572">
        <f>Grants!AA93</f>
        <v>75.205285714285722</v>
      </c>
      <c r="P3" s="572">
        <f>Grants!AB93</f>
        <v>75.205285714285722</v>
      </c>
      <c r="Q3" s="572">
        <f>Grants!AC93</f>
        <v>75.205285714285722</v>
      </c>
    </row>
    <row r="4" spans="1:17">
      <c r="A4" t="s">
        <v>459</v>
      </c>
      <c r="B4" s="261" t="s">
        <v>604</v>
      </c>
      <c r="C4" s="296">
        <f>'Federal and State Purchases'!O13</f>
        <v>1574.4706324651618</v>
      </c>
      <c r="D4" s="296">
        <f>'Federal and State Purchases'!P13</f>
        <v>1586.3910806856957</v>
      </c>
      <c r="E4" s="296">
        <f>'Federal and State Purchases'!Q13</f>
        <v>1598.4948253539787</v>
      </c>
      <c r="F4" s="296">
        <f>'Federal and State Purchases'!R13</f>
        <v>1600.4852269719188</v>
      </c>
      <c r="G4" s="296">
        <f>'Federal and State Purchases'!S13</f>
        <v>1599.8246179233195</v>
      </c>
      <c r="H4" s="296">
        <f>'Federal and State Purchases'!T13</f>
        <v>1599.9925730575819</v>
      </c>
      <c r="I4" s="296">
        <f>'Federal and State Purchases'!U13</f>
        <v>1604.2713586599725</v>
      </c>
      <c r="J4" s="296">
        <f>'Federal and State Purchases'!V13</f>
        <v>1610.249863080161</v>
      </c>
      <c r="K4" s="296">
        <f>'Federal and State Purchases'!W13</f>
        <v>1617.9041839311014</v>
      </c>
      <c r="L4" s="296">
        <f>'Federal and State Purchases'!X13</f>
        <v>1626.9012547503785</v>
      </c>
      <c r="M4" s="296">
        <f>'Federal and State Purchases'!Y13</f>
        <v>1635.7763242754954</v>
      </c>
      <c r="N4" s="572">
        <f>'Federal and State Purchases'!Z13</f>
        <v>1644.6998090678856</v>
      </c>
      <c r="O4" s="572">
        <f>'Federal and State Purchases'!AA13</f>
        <v>1654.0763434825342</v>
      </c>
      <c r="P4" s="572">
        <f>'Federal and State Purchases'!AB13</f>
        <v>1663.0996585149583</v>
      </c>
      <c r="Q4" s="572">
        <f>'Federal and State Purchases'!AC13</f>
        <v>1673.3979812645641</v>
      </c>
    </row>
    <row r="5" spans="1:17">
      <c r="A5" t="s">
        <v>460</v>
      </c>
      <c r="B5" s="324" t="s">
        <v>605</v>
      </c>
      <c r="C5" s="296">
        <f>'Federal and State Purchases'!O27</f>
        <v>2511.8436452174183</v>
      </c>
      <c r="D5" s="296">
        <f>'Federal and State Purchases'!P27</f>
        <v>2572.4134619069305</v>
      </c>
      <c r="E5" s="296">
        <f>'Federal and State Purchases'!Q27</f>
        <v>2628.4359475389774</v>
      </c>
      <c r="F5" s="296">
        <f>'Federal and State Purchases'!R27</f>
        <v>2679.4973817692357</v>
      </c>
      <c r="G5" s="296">
        <f>'Federal and State Purchases'!S27</f>
        <v>2725.2056548484343</v>
      </c>
      <c r="H5" s="296">
        <f>'Federal and State Purchases'!T27</f>
        <v>2761.9282764357772</v>
      </c>
      <c r="I5" s="296">
        <f>'Federal and State Purchases'!U27</f>
        <v>2795.8233077203895</v>
      </c>
      <c r="J5" s="296">
        <f>'Federal and State Purchases'!V27</f>
        <v>2830.1343067749062</v>
      </c>
      <c r="K5" s="296">
        <f>'Federal and State Purchases'!W27</f>
        <v>2864.8663784533146</v>
      </c>
      <c r="L5" s="296">
        <f>'Federal and State Purchases'!X27</f>
        <v>2900.0246902575668</v>
      </c>
      <c r="M5" s="296">
        <f>'Federal and State Purchases'!Y27</f>
        <v>2935.6144731064101</v>
      </c>
      <c r="N5" s="572">
        <f>'Federal and State Purchases'!Z27</f>
        <v>2935.6144731064101</v>
      </c>
      <c r="O5" s="572">
        <f>'Federal and State Purchases'!AA27</f>
        <v>2935.6144731064101</v>
      </c>
      <c r="P5" s="572">
        <f>'Federal and State Purchases'!AB27</f>
        <v>2935.6144731064101</v>
      </c>
      <c r="Q5" s="572">
        <f>'Federal and State Purchases'!AC27</f>
        <v>2935.6144731064101</v>
      </c>
    </row>
    <row r="6" spans="1:17">
      <c r="A6" t="s">
        <v>570</v>
      </c>
      <c r="B6" s="324" t="s">
        <v>612</v>
      </c>
      <c r="C6" s="296">
        <f>Subsidies!O44</f>
        <v>684.23865117608079</v>
      </c>
      <c r="D6" s="296">
        <f>Subsidies!P44</f>
        <v>116.33678854309761</v>
      </c>
      <c r="E6" s="296">
        <f>Subsidies!Q44</f>
        <v>83.047368421052624</v>
      </c>
      <c r="F6" s="296">
        <f>Subsidies!R44</f>
        <v>77.633834586466179</v>
      </c>
      <c r="G6" s="296">
        <f>Subsidies!S44</f>
        <v>77.633834586466179</v>
      </c>
      <c r="H6" s="296">
        <f>Subsidies!T44</f>
        <v>75.736000000000004</v>
      </c>
      <c r="I6" s="296">
        <f>Subsidies!U44</f>
        <v>75.736000000000004</v>
      </c>
      <c r="J6" s="296">
        <f>Subsidies!V44</f>
        <v>75.736000000000004</v>
      </c>
      <c r="K6" s="296">
        <f>Subsidies!W44</f>
        <v>75.736000000000004</v>
      </c>
      <c r="L6" s="296">
        <f>Subsidies!X44</f>
        <v>74.060000000000016</v>
      </c>
      <c r="M6" s="296">
        <f>Subsidies!Y44</f>
        <v>74.060000000000016</v>
      </c>
      <c r="N6" s="572">
        <f>Subsidies!Z44</f>
        <v>74.060000000000016</v>
      </c>
      <c r="O6" s="572">
        <f>Subsidies!AA44</f>
        <v>74.060000000000016</v>
      </c>
      <c r="P6" s="572">
        <f>Subsidies!AB44</f>
        <v>77.001000000000005</v>
      </c>
      <c r="Q6" s="572">
        <f>Subsidies!AC44</f>
        <v>77.001000000000005</v>
      </c>
    </row>
    <row r="7" spans="1:17">
      <c r="A7" t="s">
        <v>611</v>
      </c>
      <c r="B7" s="324" t="s">
        <v>613</v>
      </c>
      <c r="C7" s="296">
        <f>Subsidies!O43</f>
        <v>267.78904</v>
      </c>
      <c r="D7" s="296">
        <f>Subsidies!P43</f>
        <v>110.24799999999999</v>
      </c>
      <c r="E7" s="296">
        <f>Subsidies!Q43</f>
        <v>110.24799999999999</v>
      </c>
      <c r="F7" s="296">
        <f>Subsidies!R43</f>
        <v>110.24799999999999</v>
      </c>
      <c r="G7" s="296">
        <f>Subsidies!S43</f>
        <v>110.24799999999999</v>
      </c>
      <c r="H7" s="296">
        <f>Subsidies!T43</f>
        <v>12.726000000000001</v>
      </c>
      <c r="I7" s="296">
        <f>Subsidies!U43</f>
        <v>12.726000000000001</v>
      </c>
      <c r="J7" s="296">
        <f>Subsidies!V43</f>
        <v>12.726000000000001</v>
      </c>
      <c r="K7" s="296">
        <f>Subsidies!W43</f>
        <v>12.726000000000001</v>
      </c>
      <c r="L7" s="296">
        <f>Subsidies!X43</f>
        <v>1.365</v>
      </c>
      <c r="M7" s="296">
        <f>Subsidies!Y43</f>
        <v>1.365</v>
      </c>
      <c r="N7" s="572">
        <f>Subsidies!Z43</f>
        <v>1.365</v>
      </c>
      <c r="O7" s="572">
        <f>Subsidies!AA43</f>
        <v>1.365</v>
      </c>
      <c r="P7" s="572">
        <f>Subsidies!AB43</f>
        <v>-0.90100000000000025</v>
      </c>
      <c r="Q7" s="572">
        <f>Subsidies!AC43</f>
        <v>-0.90100000000000025</v>
      </c>
    </row>
    <row r="8" spans="1:17">
      <c r="A8" t="s">
        <v>133</v>
      </c>
      <c r="B8" s="324" t="s">
        <v>606</v>
      </c>
      <c r="C8" s="296">
        <f>'Unemployment Insurance'!O19</f>
        <v>393.86593314903257</v>
      </c>
      <c r="D8" s="296">
        <f>'Unemployment Insurance'!P19</f>
        <v>0</v>
      </c>
      <c r="E8" s="296">
        <f>'Unemployment Insurance'!Q19</f>
        <v>0</v>
      </c>
      <c r="F8" s="296">
        <f>'Unemployment Insurance'!R19</f>
        <v>0</v>
      </c>
      <c r="G8" s="296">
        <f>'Unemployment Insurance'!S19</f>
        <v>0</v>
      </c>
      <c r="H8" s="296">
        <f>'Unemployment Insurance'!T19</f>
        <v>0</v>
      </c>
      <c r="I8" s="296">
        <f>'Unemployment Insurance'!U19</f>
        <v>0</v>
      </c>
      <c r="J8" s="296">
        <f>'Unemployment Insurance'!V19</f>
        <v>0</v>
      </c>
      <c r="K8" s="296">
        <f>'Unemployment Insurance'!W19</f>
        <v>0</v>
      </c>
      <c r="L8" s="296">
        <f>'Unemployment Insurance'!X19</f>
        <v>0</v>
      </c>
      <c r="M8" s="296">
        <f>'Unemployment Insurance'!Y19</f>
        <v>0</v>
      </c>
      <c r="N8" s="572">
        <f>'Unemployment Insurance'!Z19</f>
        <v>0</v>
      </c>
      <c r="O8" s="572">
        <f>'Unemployment Insurance'!AA19</f>
        <v>0</v>
      </c>
      <c r="P8" s="572">
        <f>'Unemployment Insurance'!AB19</f>
        <v>0</v>
      </c>
      <c r="Q8" s="572">
        <f>'Unemployment Insurance'!AC19</f>
        <v>0</v>
      </c>
    </row>
    <row r="9" spans="1:17">
      <c r="A9" t="s">
        <v>134</v>
      </c>
      <c r="B9" s="324" t="s">
        <v>607</v>
      </c>
      <c r="C9" s="296">
        <f>'Unemployment Insurance'!O20</f>
        <v>41.434647398843964</v>
      </c>
      <c r="D9" s="296">
        <f>'Unemployment Insurance'!P20</f>
        <v>36.046109826589621</v>
      </c>
      <c r="E9" s="296">
        <f>'Unemployment Insurance'!Q20</f>
        <v>32.09660115606939</v>
      </c>
      <c r="F9" s="296">
        <f>'Unemployment Insurance'!R20</f>
        <v>29.867670520231236</v>
      </c>
      <c r="G9" s="296">
        <f>'Unemployment Insurance'!S20</f>
        <v>28.796219653179211</v>
      </c>
      <c r="H9" s="296">
        <f>'Unemployment Insurance'!T20</f>
        <v>28.444283236994242</v>
      </c>
      <c r="I9" s="296">
        <f>'Unemployment Insurance'!U20</f>
        <v>28.639803468208115</v>
      </c>
      <c r="J9" s="296">
        <f>'Unemployment Insurance'!V20</f>
        <v>29.077768786127191</v>
      </c>
      <c r="K9" s="296">
        <f>'Unemployment Insurance'!W20</f>
        <v>29.52355491329482</v>
      </c>
      <c r="L9" s="296">
        <f>'Unemployment Insurance'!X20</f>
        <v>29.992803468208116</v>
      </c>
      <c r="M9" s="296">
        <f>'Unemployment Insurance'!Y20</f>
        <v>30.579364161849735</v>
      </c>
      <c r="N9" s="572">
        <f>'Unemployment Insurance'!Z20</f>
        <v>31.064254335260141</v>
      </c>
      <c r="O9" s="572">
        <f>'Unemployment Insurance'!AA20</f>
        <v>31.447473988439334</v>
      </c>
      <c r="P9" s="572">
        <f>'Unemployment Insurance'!AB20</f>
        <v>31.924543352601184</v>
      </c>
      <c r="Q9" s="572">
        <f>'Unemployment Insurance'!AC20</f>
        <v>32.385971098265927</v>
      </c>
    </row>
    <row r="10" spans="1:17">
      <c r="A10" t="s">
        <v>140</v>
      </c>
      <c r="B10" s="324" t="s">
        <v>610</v>
      </c>
      <c r="C10" s="296">
        <f>Medicaid!K26</f>
        <v>539.89443411340733</v>
      </c>
      <c r="D10" s="296">
        <f>Medicaid!L26</f>
        <v>548.25542446994621</v>
      </c>
      <c r="E10" s="296">
        <f>Medicaid!M26</f>
        <v>581.74898117976795</v>
      </c>
      <c r="F10" s="296">
        <f>Medicaid!N26</f>
        <v>590.75814540565545</v>
      </c>
      <c r="G10" s="296">
        <f>Medicaid!O26</f>
        <v>544.64732294282499</v>
      </c>
      <c r="H10" s="296">
        <f>Medicaid!P26</f>
        <v>543.73814293006001</v>
      </c>
      <c r="I10" s="296">
        <f>Medicaid!Q26</f>
        <v>545.38929023599587</v>
      </c>
      <c r="J10" s="296">
        <f>Medicaid!R26</f>
        <v>547.04545151319951</v>
      </c>
      <c r="K10" s="296">
        <f>Medicaid!S26</f>
        <v>548.70664198739189</v>
      </c>
      <c r="L10" s="296">
        <f>Medicaid!T26</f>
        <v>571.1859682769184</v>
      </c>
      <c r="M10" s="296">
        <f>Medicaid!U26</f>
        <v>594.58622402448964</v>
      </c>
      <c r="N10" s="572">
        <f>Medicaid!V26</f>
        <v>618.94513772142125</v>
      </c>
      <c r="O10" s="572">
        <f>Medicaid!W26</f>
        <v>644.30198351385013</v>
      </c>
      <c r="P10" s="572">
        <f>Medicaid!X26</f>
        <v>670.69764452487505</v>
      </c>
      <c r="Q10" s="572">
        <f>Medicaid!Y26</f>
        <v>698.17467877086835</v>
      </c>
    </row>
    <row r="11" spans="1:17">
      <c r="A11" t="s">
        <v>139</v>
      </c>
      <c r="B11" s="324" t="s">
        <v>73</v>
      </c>
      <c r="C11" s="572">
        <f>Medicaid!K25</f>
        <v>752.5471675758439</v>
      </c>
      <c r="D11" s="572">
        <f>Medicaid!L25</f>
        <v>764.20137108930442</v>
      </c>
      <c r="E11" s="572">
        <f>Medicaid!M25</f>
        <v>776.03605559503376</v>
      </c>
      <c r="F11" s="572">
        <f>Medicaid!N25</f>
        <v>788.0540160835717</v>
      </c>
      <c r="G11" s="572">
        <f>Medicaid!O25</f>
        <v>800.25809082964031</v>
      </c>
      <c r="H11" s="572">
        <f>Medicaid!P25</f>
        <v>802.68820173487552</v>
      </c>
      <c r="I11" s="572">
        <f>Medicaid!Q25</f>
        <v>805.12569205817522</v>
      </c>
      <c r="J11" s="572">
        <f>Medicaid!R25</f>
        <v>807.57058420831549</v>
      </c>
      <c r="K11" s="572">
        <f>Medicaid!S25</f>
        <v>810.02290066212015</v>
      </c>
      <c r="L11" s="572">
        <f>Medicaid!T25</f>
        <v>843.20778980437865</v>
      </c>
      <c r="M11" s="572">
        <f>Medicaid!U25</f>
        <v>877.75219219803273</v>
      </c>
      <c r="N11" s="572">
        <f>Medicaid!V25</f>
        <v>913.71180416536913</v>
      </c>
      <c r="O11" s="572">
        <f>Medicaid!W25</f>
        <v>951.14460378673266</v>
      </c>
      <c r="P11" s="572">
        <f>Medicaid!X25</f>
        <v>990.11094437922668</v>
      </c>
      <c r="Q11" s="572">
        <f>Medicaid!Y25</f>
        <v>1030.6736518050343</v>
      </c>
    </row>
    <row r="12" spans="1:17">
      <c r="A12" t="s">
        <v>385</v>
      </c>
      <c r="B12" s="261" t="s">
        <v>74</v>
      </c>
      <c r="C12" s="296">
        <f>Medicare!O10</f>
        <v>829.40291089552829</v>
      </c>
      <c r="D12" s="296">
        <f>Medicare!P10</f>
        <v>843.85759747491386</v>
      </c>
      <c r="E12" s="296">
        <f>Medicare!Q10</f>
        <v>843.37413735570783</v>
      </c>
      <c r="F12" s="296">
        <f>Medicare!R10</f>
        <v>859.18080292867467</v>
      </c>
      <c r="G12" s="296">
        <f>Medicare!S10</f>
        <v>861.28301891594344</v>
      </c>
      <c r="H12" s="296">
        <f>Medicare!T10</f>
        <v>877.68631147019892</v>
      </c>
      <c r="I12" s="296">
        <f>Medicare!U10</f>
        <v>894.37097605549116</v>
      </c>
      <c r="J12" s="296">
        <f>Medicare!V10</f>
        <v>911.36713476209957</v>
      </c>
      <c r="K12" s="296">
        <f>Medicare!W10</f>
        <v>928.68060302533706</v>
      </c>
      <c r="L12" s="296">
        <f>Medicare!X10</f>
        <v>946.31730485170817</v>
      </c>
      <c r="M12" s="296">
        <f>Medicare!Y10</f>
        <v>964.02626563984654</v>
      </c>
      <c r="N12" s="572">
        <f>Medicare!Z10</f>
        <v>982.06111404386252</v>
      </c>
      <c r="O12" s="572">
        <f>Medicare!AA10</f>
        <v>1000.427847182359</v>
      </c>
      <c r="P12" s="572">
        <f>Medicare!AB10</f>
        <v>1019.1325725353943</v>
      </c>
      <c r="Q12" s="572">
        <f>Medicare!AC10</f>
        <v>1038.181509975399</v>
      </c>
    </row>
    <row r="13" spans="1:17" s="261" customFormat="1">
      <c r="A13" s="261" t="s">
        <v>463</v>
      </c>
      <c r="B13" s="324" t="s">
        <v>618</v>
      </c>
      <c r="C13" s="296">
        <f>'Rebate Checks'!O11</f>
        <v>0</v>
      </c>
      <c r="D13" s="296">
        <f>'Rebate Checks'!P11</f>
        <v>0</v>
      </c>
      <c r="E13" s="296">
        <f>'Rebate Checks'!Q11</f>
        <v>0</v>
      </c>
      <c r="F13" s="296">
        <f>'Rebate Checks'!R11</f>
        <v>0</v>
      </c>
      <c r="G13" s="296">
        <f>'Rebate Checks'!S11</f>
        <v>0</v>
      </c>
      <c r="H13" s="296">
        <f>'Rebate Checks'!T11</f>
        <v>0</v>
      </c>
      <c r="I13" s="296">
        <f>'Rebate Checks'!U11</f>
        <v>0</v>
      </c>
      <c r="J13" s="296">
        <f>'Rebate Checks'!V11</f>
        <v>0</v>
      </c>
      <c r="K13" s="296">
        <f>'Rebate Checks'!W11</f>
        <v>0</v>
      </c>
      <c r="L13" s="296">
        <f>'Rebate Checks'!X11</f>
        <v>0</v>
      </c>
      <c r="M13" s="296">
        <f>'Rebate Checks'!Y11</f>
        <v>0</v>
      </c>
      <c r="N13" s="572">
        <f>'Rebate Checks'!Z11</f>
        <v>0</v>
      </c>
      <c r="O13" s="572">
        <f>'Rebate Checks'!AA11</f>
        <v>0</v>
      </c>
      <c r="P13" s="572">
        <f>'Rebate Checks'!AB11</f>
        <v>0</v>
      </c>
      <c r="Q13" s="572">
        <f>'Rebate Checks'!AC11</f>
        <v>0</v>
      </c>
    </row>
    <row r="14" spans="1:17">
      <c r="A14" t="s">
        <v>464</v>
      </c>
      <c r="B14" s="324" t="s">
        <v>619</v>
      </c>
      <c r="C14" s="296">
        <f>'Rebate Checks'!O10</f>
        <v>0</v>
      </c>
      <c r="D14" s="296">
        <f>'Rebate Checks'!P10</f>
        <v>0</v>
      </c>
      <c r="E14" s="296">
        <f>'Rebate Checks'!Q10</f>
        <v>34.93</v>
      </c>
      <c r="F14" s="296">
        <f>'Rebate Checks'!R10</f>
        <v>34.93</v>
      </c>
      <c r="G14" s="296">
        <f>'Rebate Checks'!S10</f>
        <v>0</v>
      </c>
      <c r="H14" s="296">
        <f>'Rebate Checks'!T10</f>
        <v>0</v>
      </c>
      <c r="I14" s="296">
        <f>'Rebate Checks'!U10</f>
        <v>0</v>
      </c>
      <c r="J14" s="296">
        <f>'Rebate Checks'!V10</f>
        <v>0</v>
      </c>
      <c r="K14" s="296">
        <f>'Rebate Checks'!W10</f>
        <v>0</v>
      </c>
      <c r="L14" s="296">
        <f>'Rebate Checks'!X10</f>
        <v>0</v>
      </c>
      <c r="M14" s="296">
        <f>'Rebate Checks'!Y10</f>
        <v>0</v>
      </c>
      <c r="N14" s="572">
        <f>'Rebate Checks'!Z10</f>
        <v>0</v>
      </c>
      <c r="O14" s="572">
        <f>'Rebate Checks'!AA10</f>
        <v>0</v>
      </c>
      <c r="P14" s="572">
        <f>'Rebate Checks'!AB10</f>
        <v>0</v>
      </c>
      <c r="Q14" s="572">
        <f>'Rebate Checks'!AC10</f>
        <v>0</v>
      </c>
    </row>
    <row r="15" spans="1:17">
      <c r="A15" t="s">
        <v>461</v>
      </c>
      <c r="B15" s="324" t="s">
        <v>617</v>
      </c>
      <c r="C15" s="296">
        <f>'Social Benefits'!O24</f>
        <v>137.43936000000005</v>
      </c>
      <c r="D15" s="296">
        <f>'Social Benefits'!P24</f>
        <v>52.756999999999998</v>
      </c>
      <c r="E15" s="296">
        <f>'Social Benefits'!Q24</f>
        <v>52.756999999999998</v>
      </c>
      <c r="F15" s="296">
        <f>'Social Benefits'!R24</f>
        <v>52.756999999999998</v>
      </c>
      <c r="G15" s="296">
        <f>'Social Benefits'!S24</f>
        <v>52.756999999999998</v>
      </c>
      <c r="H15" s="296">
        <f>'Social Benefits'!T24</f>
        <v>12</v>
      </c>
      <c r="I15" s="296">
        <f>'Social Benefits'!U24</f>
        <v>12</v>
      </c>
      <c r="J15" s="296">
        <f>'Social Benefits'!V24</f>
        <v>12</v>
      </c>
      <c r="K15" s="296">
        <f>'Social Benefits'!W24</f>
        <v>12</v>
      </c>
      <c r="L15" s="296">
        <f>'Social Benefits'!X24</f>
        <v>4.2219999999999995</v>
      </c>
      <c r="M15" s="296">
        <f>'Social Benefits'!Y24</f>
        <v>4.2219999999999995</v>
      </c>
      <c r="N15" s="572">
        <f>'Social Benefits'!Z24</f>
        <v>4.2219999999999995</v>
      </c>
      <c r="O15" s="572">
        <f>'Social Benefits'!AA24</f>
        <v>4.2219999999999995</v>
      </c>
      <c r="P15" s="572">
        <f>'Social Benefits'!AB24</f>
        <v>2.3719999999999999</v>
      </c>
      <c r="Q15" s="572">
        <f>'Social Benefits'!AC24</f>
        <v>2.3719999999999999</v>
      </c>
    </row>
    <row r="16" spans="1:17">
      <c r="A16" t="s">
        <v>462</v>
      </c>
      <c r="B16" s="324" t="s">
        <v>616</v>
      </c>
      <c r="C16" s="296">
        <f>'Social Benefits'!O25</f>
        <v>106.5440000000001</v>
      </c>
      <c r="D16" s="296">
        <f>'Social Benefits'!P25</f>
        <v>98.978999999999999</v>
      </c>
      <c r="E16" s="296">
        <f>'Social Benefits'!Q25</f>
        <v>98.978999999999999</v>
      </c>
      <c r="F16" s="296">
        <f>'Social Benefits'!R25</f>
        <v>98.978999999999999</v>
      </c>
      <c r="G16" s="296">
        <f>'Social Benefits'!S25</f>
        <v>98.978999999999999</v>
      </c>
      <c r="H16" s="296">
        <f>'Social Benefits'!T25</f>
        <v>2.1159999999999997</v>
      </c>
      <c r="I16" s="296">
        <f>'Social Benefits'!U25</f>
        <v>2.1159999999999997</v>
      </c>
      <c r="J16" s="296">
        <f>'Social Benefits'!V25</f>
        <v>2.1159999999999997</v>
      </c>
      <c r="K16" s="296">
        <f>'Social Benefits'!W25</f>
        <v>2.1159999999999997</v>
      </c>
      <c r="L16" s="296">
        <f>'Social Benefits'!X25</f>
        <v>2.1789999999999998</v>
      </c>
      <c r="M16" s="296">
        <f>'Social Benefits'!Y25</f>
        <v>2.1789999999999998</v>
      </c>
      <c r="N16" s="572">
        <f>'Social Benefits'!Z25</f>
        <v>2.1789999999999998</v>
      </c>
      <c r="O16" s="572">
        <f>'Social Benefits'!AA25</f>
        <v>2.1789999999999998</v>
      </c>
      <c r="P16" s="572">
        <f>'Social Benefits'!AB25</f>
        <v>2.33</v>
      </c>
      <c r="Q16" s="572">
        <f>'Social Benefits'!AC25</f>
        <v>2.33</v>
      </c>
    </row>
    <row r="17" spans="1:17">
      <c r="A17" t="s">
        <v>555</v>
      </c>
      <c r="B17" s="324" t="s">
        <v>614</v>
      </c>
      <c r="C17" s="572">
        <f>'Social Benefits'!O22+'Social Benefits'!O16</f>
        <v>1692.5000000000009</v>
      </c>
      <c r="D17" s="572">
        <f>'Social Benefits'!P22+'Social Benefits'!P16</f>
        <v>1669.600000000001</v>
      </c>
      <c r="E17" s="572">
        <f>'Social Benefits'!Q22+'Social Benefits'!Q16</f>
        <v>1710.3262120071224</v>
      </c>
      <c r="F17" s="572">
        <f>'Social Benefits'!R22+'Social Benefits'!R16</f>
        <v>1712.4262120071226</v>
      </c>
      <c r="G17" s="572">
        <f>'Social Benefits'!S22+'Social Benefits'!S16</f>
        <v>1704.5262120071227</v>
      </c>
      <c r="H17" s="572">
        <f>'Social Benefits'!T22+'Social Benefits'!T16</f>
        <v>1706.6262120071228</v>
      </c>
      <c r="I17" s="572">
        <f>'Social Benefits'!U22+'Social Benefits'!U16</f>
        <v>1783.9785508694649</v>
      </c>
      <c r="J17" s="572">
        <f>'Social Benefits'!V22+'Social Benefits'!V16</f>
        <v>1791.0785508694651</v>
      </c>
      <c r="K17" s="572">
        <f>'Social Benefits'!W22+'Social Benefits'!W16</f>
        <v>1798.1785508694652</v>
      </c>
      <c r="L17" s="572">
        <f>'Social Benefits'!X22+'Social Benefits'!X16</f>
        <v>1805.2785508694653</v>
      </c>
      <c r="M17" s="572">
        <f>'Social Benefits'!Y22+'Social Benefits'!Y16</f>
        <v>1878.701320206336</v>
      </c>
      <c r="N17" s="572">
        <f>'Social Benefits'!Z22+'Social Benefits'!Z16</f>
        <v>1885.8013202063362</v>
      </c>
      <c r="O17" s="572">
        <f>'Social Benefits'!AA22+'Social Benefits'!AA16</f>
        <v>1892.9013202063363</v>
      </c>
      <c r="P17" s="572">
        <f>'Social Benefits'!AB22+'Social Benefits'!AB16</f>
        <v>1900.0013202063365</v>
      </c>
      <c r="Q17" s="572">
        <f>'Social Benefits'!AC22+'Social Benefits'!AC16</f>
        <v>1907.1013202063366</v>
      </c>
    </row>
    <row r="18" spans="1:17" s="324" customFormat="1">
      <c r="A18" s="324" t="s">
        <v>556</v>
      </c>
      <c r="B18" s="324" t="s">
        <v>615</v>
      </c>
      <c r="C18" s="296">
        <f>'Social Benefits'!O30</f>
        <v>156.86404345185662</v>
      </c>
      <c r="D18" s="296">
        <f>'Social Benefits'!P30</f>
        <v>158.75050405203845</v>
      </c>
      <c r="E18" s="296">
        <f>'Social Benefits'!Q30</f>
        <v>160.65965139111677</v>
      </c>
      <c r="F18" s="296">
        <f>'Social Benefits'!R30</f>
        <v>162.59175830178242</v>
      </c>
      <c r="G18" s="296">
        <f>'Social Benefits'!S30</f>
        <v>164.54710089783592</v>
      </c>
      <c r="H18" s="296">
        <f>'Social Benefits'!T30</f>
        <v>166.52595861364625</v>
      </c>
      <c r="I18" s="296">
        <f>'Social Benefits'!U30</f>
        <v>168.52861424408439</v>
      </c>
      <c r="J18" s="296">
        <f>'Social Benefits'!V30</f>
        <v>170.555353984937</v>
      </c>
      <c r="K18" s="296">
        <f>'Social Benefits'!W30</f>
        <v>172.60646747380608</v>
      </c>
      <c r="L18" s="296">
        <f>'Social Benefits'!X30</f>
        <v>174.68224783150058</v>
      </c>
      <c r="M18" s="296">
        <f>'Social Benefits'!Y30</f>
        <v>176.78299170392575</v>
      </c>
      <c r="N18" s="572">
        <f>'Social Benefits'!Z30</f>
        <v>178.90899930447623</v>
      </c>
      <c r="O18" s="572">
        <f>'Social Benefits'!AA30</f>
        <v>181.06057445693898</v>
      </c>
      <c r="P18" s="572">
        <f>'Social Benefits'!AB30</f>
        <v>183.23802463891224</v>
      </c>
      <c r="Q18" s="572">
        <f>'Social Benefits'!AC30</f>
        <v>185.44166102574647</v>
      </c>
    </row>
    <row r="19" spans="1:17">
      <c r="A19" t="s">
        <v>622</v>
      </c>
      <c r="B19" s="324" t="s">
        <v>624</v>
      </c>
      <c r="C19" s="296">
        <f>Taxes!O9</f>
        <v>3702.7279180746473</v>
      </c>
      <c r="D19" s="296">
        <f>Taxes!P9</f>
        <v>3753.1986685626935</v>
      </c>
      <c r="E19" s="296">
        <f>Taxes!Q9</f>
        <v>3789.474466066139</v>
      </c>
      <c r="F19" s="296">
        <f>Taxes!R9</f>
        <v>3839.6232913716235</v>
      </c>
      <c r="G19" s="296">
        <f>Taxes!S9</f>
        <v>3885.73396048325</v>
      </c>
      <c r="H19" s="296">
        <f>Taxes!T9</f>
        <v>3928.7228259014305</v>
      </c>
      <c r="I19" s="296">
        <f>Taxes!U9</f>
        <v>3963.2082474974463</v>
      </c>
      <c r="J19" s="296">
        <f>Taxes!V9</f>
        <v>4002.0105959242255</v>
      </c>
      <c r="K19" s="296">
        <f>Taxes!W9</f>
        <v>4040.4862419569254</v>
      </c>
      <c r="L19" s="296">
        <f>Taxes!X9</f>
        <v>4078.1458539417649</v>
      </c>
      <c r="M19" s="296">
        <f>Taxes!Y9</f>
        <v>4114.5364253800335</v>
      </c>
      <c r="N19" s="572">
        <f>Taxes!Z9</f>
        <v>4150.5791355082993</v>
      </c>
      <c r="O19" s="572">
        <f>Taxes!AA9</f>
        <v>4188.264463641015</v>
      </c>
      <c r="P19" s="572">
        <f>Taxes!AB9</f>
        <v>4225.9780741350496</v>
      </c>
      <c r="Q19" s="572">
        <f>Taxes!AC9</f>
        <v>4264.7804553946153</v>
      </c>
    </row>
    <row r="20" spans="1:17">
      <c r="A20" t="s">
        <v>623</v>
      </c>
      <c r="B20" s="324" t="s">
        <v>625</v>
      </c>
      <c r="C20" s="296">
        <f>Taxes!O16</f>
        <v>2164.4482919103875</v>
      </c>
      <c r="D20" s="296">
        <f>Taxes!P16</f>
        <v>2194.3223121532637</v>
      </c>
      <c r="E20" s="296">
        <f>Taxes!Q16</f>
        <v>2224.5413720016322</v>
      </c>
      <c r="F20" s="296">
        <f>Taxes!R16</f>
        <v>2253.7176920087013</v>
      </c>
      <c r="G20" s="296">
        <f>Taxes!S16</f>
        <v>2284.0426377976205</v>
      </c>
      <c r="H20" s="296">
        <f>Taxes!T16</f>
        <v>2311.8513323667312</v>
      </c>
      <c r="I20" s="296">
        <f>Taxes!U16</f>
        <v>2336.816532152634</v>
      </c>
      <c r="J20" s="296">
        <f>Taxes!V16</f>
        <v>2360.4098395562496</v>
      </c>
      <c r="K20" s="296">
        <f>Taxes!W16</f>
        <v>2383.8947046963863</v>
      </c>
      <c r="L20" s="296">
        <f>Taxes!X16</f>
        <v>2406.1925927068878</v>
      </c>
      <c r="M20" s="296">
        <f>Taxes!Y16</f>
        <v>2427.4681701856962</v>
      </c>
      <c r="N20" s="572">
        <f>Taxes!Z16</f>
        <v>2448.7029333186206</v>
      </c>
      <c r="O20" s="572">
        <f>Taxes!AA16</f>
        <v>2470.8658012154724</v>
      </c>
      <c r="P20" s="572">
        <f>Taxes!AB16</f>
        <v>2492.091879620777</v>
      </c>
      <c r="Q20" s="572">
        <f>Taxes!AC16</f>
        <v>2514.7144630554176</v>
      </c>
    </row>
    <row r="21" spans="1:17">
      <c r="A21" t="s">
        <v>620</v>
      </c>
      <c r="B21" s="324" t="s">
        <v>626</v>
      </c>
      <c r="C21" s="296">
        <f>Taxes!O13</f>
        <v>275.36144578313252</v>
      </c>
      <c r="D21" s="296">
        <f>Taxes!P13</f>
        <v>278.50843373493979</v>
      </c>
      <c r="E21" s="296">
        <f>Taxes!Q13</f>
        <v>331.9957125021694</v>
      </c>
      <c r="F21" s="296">
        <f>Taxes!R13</f>
        <v>337.72752744381148</v>
      </c>
      <c r="G21" s="296">
        <f>Taxes!S13</f>
        <v>339.30096683955634</v>
      </c>
      <c r="H21" s="296">
        <f>Taxes!T13</f>
        <v>339.07618978302133</v>
      </c>
      <c r="I21" s="296">
        <f>Taxes!U13</f>
        <v>337.39036185900898</v>
      </c>
      <c r="J21" s="296">
        <f>Taxes!V13</f>
        <v>334.46826012405421</v>
      </c>
      <c r="K21" s="296">
        <f>Taxes!W13</f>
        <v>332.67004367177435</v>
      </c>
      <c r="L21" s="296">
        <f>Taxes!X13</f>
        <v>332.67004367177435</v>
      </c>
      <c r="M21" s="296">
        <f>Taxes!Y13</f>
        <v>332.1755341473974</v>
      </c>
      <c r="N21" s="572">
        <f>Taxes!Z13</f>
        <v>333.80516780727601</v>
      </c>
      <c r="O21" s="572">
        <f>Taxes!AA13</f>
        <v>335.18754670496617</v>
      </c>
      <c r="P21" s="572">
        <f>Taxes!AB13</f>
        <v>337.08691283268678</v>
      </c>
      <c r="Q21" s="572">
        <f>Taxes!AC13</f>
        <v>337.99725991165343</v>
      </c>
    </row>
    <row r="22" spans="1:17">
      <c r="A22" t="s">
        <v>621</v>
      </c>
      <c r="B22" s="324" t="s">
        <v>627</v>
      </c>
      <c r="C22" s="296">
        <f>Taxes!O20</f>
        <v>119.87954743783622</v>
      </c>
      <c r="D22" s="296">
        <f>Taxes!P20</f>
        <v>121.24959940855436</v>
      </c>
      <c r="E22" s="296">
        <f>Taxes!Q20</f>
        <v>119.03333886768679</v>
      </c>
      <c r="F22" s="296">
        <f>Taxes!R20</f>
        <v>121.08841682376399</v>
      </c>
      <c r="G22" s="296">
        <f>Taxes!S20</f>
        <v>121.65255587053028</v>
      </c>
      <c r="H22" s="296">
        <f>Taxes!T20</f>
        <v>121.57196457813509</v>
      </c>
      <c r="I22" s="296">
        <f>Taxes!U20</f>
        <v>120.96752988517122</v>
      </c>
      <c r="J22" s="296">
        <f>Taxes!V20</f>
        <v>119.91984308403381</v>
      </c>
      <c r="K22" s="296">
        <f>Taxes!W20</f>
        <v>119.27511274487235</v>
      </c>
      <c r="L22" s="296">
        <f>Taxes!X20</f>
        <v>119.27511274487235</v>
      </c>
      <c r="M22" s="296">
        <f>Taxes!Y20</f>
        <v>119.09781190160294</v>
      </c>
      <c r="N22" s="572">
        <f>Taxes!Z20</f>
        <v>119.68209877146802</v>
      </c>
      <c r="O22" s="572">
        <f>Taxes!AA20</f>
        <v>120.17773521969842</v>
      </c>
      <c r="P22" s="572">
        <f>Taxes!AB20</f>
        <v>120.85873164043772</v>
      </c>
      <c r="Q22" s="572">
        <f>Taxes!AC20</f>
        <v>121.18512637463822</v>
      </c>
    </row>
  </sheetData>
  <phoneticPr fontId="5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1CB34-B569-4A1B-8296-342B1FD62449}">
  <dimension ref="B1:K7"/>
  <sheetViews>
    <sheetView workbookViewId="0">
      <selection activeCell="C7" sqref="C7"/>
    </sheetView>
  </sheetViews>
  <sheetFormatPr baseColWidth="10" defaultColWidth="8.83203125" defaultRowHeight="15"/>
  <sheetData>
    <row r="1" spans="2:11">
      <c r="B1" s="1342" t="s">
        <v>1020</v>
      </c>
      <c r="C1" s="1342"/>
      <c r="D1" s="1342"/>
      <c r="E1" s="1342"/>
      <c r="F1" s="1342"/>
      <c r="G1" s="1342"/>
      <c r="H1" s="1342"/>
      <c r="I1" s="1342"/>
      <c r="J1" s="1342"/>
      <c r="K1" s="1342"/>
    </row>
    <row r="2" spans="2:11">
      <c r="B2" s="1343" t="s">
        <v>1019</v>
      </c>
      <c r="C2" s="1343"/>
      <c r="D2" s="1343"/>
      <c r="E2" s="1343"/>
      <c r="F2" s="1343"/>
      <c r="G2" s="1343"/>
      <c r="H2" s="1343"/>
      <c r="I2" s="1343"/>
      <c r="J2" s="1343"/>
      <c r="K2" s="1343"/>
    </row>
    <row r="3" spans="2:11">
      <c r="B3" s="1343"/>
      <c r="C3" s="1343"/>
      <c r="D3" s="1343"/>
      <c r="E3" s="1343"/>
      <c r="F3" s="1343"/>
      <c r="G3" s="1343"/>
      <c r="H3" s="1343"/>
      <c r="I3" s="1343"/>
      <c r="J3" s="1343"/>
      <c r="K3" s="1343"/>
    </row>
    <row r="4" spans="2:11">
      <c r="B4" s="1343"/>
      <c r="C4" s="1343"/>
      <c r="D4" s="1343"/>
      <c r="E4" s="1343"/>
      <c r="F4" s="1343"/>
      <c r="G4" s="1343"/>
      <c r="H4" s="1343"/>
      <c r="I4" s="1343"/>
      <c r="J4" s="1343"/>
      <c r="K4" s="1343"/>
    </row>
    <row r="7" spans="2:11">
      <c r="B7" t="s">
        <v>577</v>
      </c>
    </row>
  </sheetData>
  <mergeCells count="2">
    <mergeCell ref="B1:K1"/>
    <mergeCell ref="B2:K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B6964-21D2-3945-96F8-2858C4FE6B71}">
  <dimension ref="B1:P191"/>
  <sheetViews>
    <sheetView zoomScale="74" workbookViewId="0">
      <selection activeCell="E7" sqref="E7"/>
    </sheetView>
  </sheetViews>
  <sheetFormatPr baseColWidth="10" defaultColWidth="8.83203125" defaultRowHeight="15"/>
  <cols>
    <col min="1" max="1" width="8.83203125" style="299"/>
    <col min="2" max="2" width="6.5" style="299" customWidth="1"/>
    <col min="3" max="3" width="65" style="299" customWidth="1"/>
    <col min="4" max="4" width="11" style="299" customWidth="1"/>
    <col min="5" max="7" width="10.1640625" style="299" customWidth="1"/>
    <col min="8" max="9" width="8.83203125" style="299"/>
    <col min="10" max="10" width="13.6640625" style="299" customWidth="1"/>
    <col min="11" max="11" width="25.5" style="299" customWidth="1"/>
    <col min="12" max="16384" width="8.83203125" style="299"/>
  </cols>
  <sheetData>
    <row r="1" spans="2:11">
      <c r="B1" s="1342" t="s">
        <v>1020</v>
      </c>
      <c r="C1" s="1342"/>
      <c r="D1" s="1342"/>
      <c r="E1" s="1342"/>
      <c r="F1" s="1342"/>
      <c r="G1" s="1342"/>
      <c r="H1" s="1342"/>
      <c r="I1" s="1342"/>
      <c r="J1" s="1342"/>
      <c r="K1" s="1342"/>
    </row>
    <row r="2" spans="2:11" ht="14.5" customHeight="1">
      <c r="B2" s="1343" t="s">
        <v>1019</v>
      </c>
      <c r="C2" s="1343"/>
      <c r="D2" s="1343"/>
      <c r="E2" s="1343"/>
      <c r="F2" s="1343"/>
      <c r="G2" s="1343"/>
      <c r="H2" s="1343"/>
      <c r="I2" s="1343"/>
      <c r="J2" s="1343"/>
      <c r="K2" s="1343"/>
    </row>
    <row r="3" spans="2:11">
      <c r="B3" s="1343"/>
      <c r="C3" s="1343"/>
      <c r="D3" s="1343"/>
      <c r="E3" s="1343"/>
      <c r="F3" s="1343"/>
      <c r="G3" s="1343"/>
      <c r="H3" s="1343"/>
      <c r="I3" s="1343"/>
      <c r="J3" s="1343"/>
      <c r="K3" s="1343"/>
    </row>
    <row r="4" spans="2:11">
      <c r="B4" s="1343"/>
      <c r="C4" s="1343"/>
      <c r="D4" s="1343"/>
      <c r="E4" s="1343"/>
      <c r="F4" s="1343"/>
      <c r="G4" s="1343"/>
      <c r="H4" s="1343"/>
      <c r="I4" s="1343"/>
      <c r="J4" s="1343"/>
      <c r="K4" s="1343"/>
    </row>
    <row r="5" spans="2:11">
      <c r="B5" s="1344"/>
      <c r="C5" s="1344"/>
      <c r="D5" s="1344"/>
      <c r="E5" s="1344"/>
      <c r="F5" s="713"/>
      <c r="G5" s="713"/>
    </row>
    <row r="6" spans="2:11">
      <c r="B6" s="730"/>
      <c r="C6" s="732"/>
      <c r="D6" s="1347">
        <v>2021</v>
      </c>
      <c r="E6" s="1347"/>
      <c r="F6" s="1347"/>
      <c r="G6" s="1347"/>
      <c r="H6" s="1347"/>
      <c r="I6" s="1104"/>
      <c r="J6" s="1348" t="s">
        <v>708</v>
      </c>
      <c r="K6" s="1350"/>
    </row>
    <row r="7" spans="2:11">
      <c r="B7" s="731"/>
      <c r="C7" s="733" t="s">
        <v>1018</v>
      </c>
      <c r="D7" s="723" t="s">
        <v>518</v>
      </c>
      <c r="E7" s="723" t="s">
        <v>519</v>
      </c>
      <c r="F7" s="723" t="s">
        <v>520</v>
      </c>
      <c r="G7" s="723" t="s">
        <v>521</v>
      </c>
      <c r="H7" s="768" t="s">
        <v>1005</v>
      </c>
      <c r="I7" s="1146">
        <v>44350</v>
      </c>
      <c r="J7" s="1349"/>
      <c r="K7" s="1351"/>
    </row>
    <row r="8" spans="2:11">
      <c r="B8" s="734">
        <v>1</v>
      </c>
      <c r="C8" s="735" t="s">
        <v>924</v>
      </c>
      <c r="D8" s="1147">
        <v>21504.5</v>
      </c>
      <c r="E8" s="1148">
        <v>19955.099999999999</v>
      </c>
      <c r="F8" s="1149">
        <v>24142.400000000001</v>
      </c>
      <c r="G8" s="1148">
        <v>20853.2</v>
      </c>
      <c r="H8" s="1149">
        <v>20388.2</v>
      </c>
      <c r="I8" s="1148">
        <v>20414.3</v>
      </c>
      <c r="K8" s="725"/>
    </row>
    <row r="9" spans="2:11">
      <c r="B9" s="736">
        <v>2</v>
      </c>
      <c r="C9" s="737" t="s">
        <v>925</v>
      </c>
      <c r="D9" s="1150">
        <v>12088.1</v>
      </c>
      <c r="E9" s="1151">
        <v>12049.5</v>
      </c>
      <c r="F9" s="1152">
        <v>12129.2</v>
      </c>
      <c r="G9" s="1151">
        <v>12223.2</v>
      </c>
      <c r="H9" s="1152">
        <v>12291.1</v>
      </c>
      <c r="I9" s="1151">
        <v>12377</v>
      </c>
      <c r="J9" s="581"/>
      <c r="K9" s="725"/>
    </row>
    <row r="10" spans="2:11">
      <c r="B10" s="738">
        <v>3</v>
      </c>
      <c r="C10" s="739" t="s">
        <v>926</v>
      </c>
      <c r="D10" s="1153">
        <v>9879.5</v>
      </c>
      <c r="E10" s="1154">
        <v>9843.2999999999993</v>
      </c>
      <c r="F10" s="1155">
        <v>9914.9</v>
      </c>
      <c r="G10" s="1154">
        <v>10002.5</v>
      </c>
      <c r="H10" s="1155">
        <v>10063</v>
      </c>
      <c r="I10" s="1154">
        <v>10139.799999999999</v>
      </c>
      <c r="J10" s="726"/>
      <c r="K10" s="725"/>
    </row>
    <row r="11" spans="2:11">
      <c r="B11" s="738">
        <v>4</v>
      </c>
      <c r="C11" s="739" t="s">
        <v>927</v>
      </c>
      <c r="D11" s="1156">
        <v>8376.4</v>
      </c>
      <c r="E11" s="1157">
        <v>8343.7000000000007</v>
      </c>
      <c r="F11" s="1158">
        <v>8409.2999999999993</v>
      </c>
      <c r="G11" s="1157">
        <v>8490.5</v>
      </c>
      <c r="H11" s="1158">
        <v>8544.6</v>
      </c>
      <c r="I11" s="1157">
        <v>8608.2000000000007</v>
      </c>
      <c r="J11" s="581"/>
      <c r="K11" s="725"/>
    </row>
    <row r="12" spans="2:11">
      <c r="B12" s="738">
        <v>5</v>
      </c>
      <c r="C12" s="739" t="s">
        <v>928</v>
      </c>
      <c r="D12" s="1153">
        <v>1503</v>
      </c>
      <c r="E12" s="1154">
        <v>1499.6</v>
      </c>
      <c r="F12" s="1155">
        <v>1505.6</v>
      </c>
      <c r="G12" s="1154">
        <v>1512</v>
      </c>
      <c r="H12" s="1155">
        <v>1518.4</v>
      </c>
      <c r="I12" s="1154">
        <v>1531.7</v>
      </c>
      <c r="J12" s="581"/>
      <c r="K12" s="725"/>
    </row>
    <row r="13" spans="2:11">
      <c r="B13" s="738">
        <v>6</v>
      </c>
      <c r="C13" s="739" t="s">
        <v>929</v>
      </c>
      <c r="D13" s="1156">
        <v>2208.6</v>
      </c>
      <c r="E13" s="1157">
        <v>2206.1999999999998</v>
      </c>
      <c r="F13" s="1158">
        <v>2214.4</v>
      </c>
      <c r="G13" s="1157">
        <v>2220.8000000000002</v>
      </c>
      <c r="H13" s="1158">
        <v>2228.1</v>
      </c>
      <c r="I13" s="1157">
        <v>2237.1</v>
      </c>
      <c r="J13" s="581"/>
      <c r="K13" s="725"/>
    </row>
    <row r="14" spans="2:11">
      <c r="B14" s="736">
        <v>7</v>
      </c>
      <c r="C14" s="737" t="s">
        <v>930</v>
      </c>
      <c r="D14" s="1159">
        <v>1643.8</v>
      </c>
      <c r="E14" s="1148">
        <v>1693.8</v>
      </c>
      <c r="F14" s="1160">
        <v>1804.2</v>
      </c>
      <c r="G14" s="1148">
        <v>1823.4</v>
      </c>
      <c r="H14" s="1160">
        <v>1848.9</v>
      </c>
      <c r="I14" s="1148">
        <v>1868.4</v>
      </c>
      <c r="J14" s="726"/>
      <c r="K14" s="725"/>
    </row>
    <row r="15" spans="2:11">
      <c r="B15" s="738">
        <v>8</v>
      </c>
      <c r="C15" s="739" t="s">
        <v>931</v>
      </c>
      <c r="D15" s="1156">
        <v>66.900000000000006</v>
      </c>
      <c r="E15" s="1157">
        <v>72.599999999999994</v>
      </c>
      <c r="F15" s="1158">
        <v>79.599999999999994</v>
      </c>
      <c r="G15" s="1157">
        <v>99</v>
      </c>
      <c r="H15" s="1158">
        <v>112.3</v>
      </c>
      <c r="I15" s="1157">
        <v>125.6</v>
      </c>
      <c r="J15" s="581"/>
      <c r="K15" s="725"/>
    </row>
    <row r="16" spans="2:11">
      <c r="B16" s="738"/>
      <c r="C16" s="740" t="s">
        <v>932</v>
      </c>
      <c r="D16" s="1153" t="s">
        <v>933</v>
      </c>
      <c r="E16" s="1154" t="s">
        <v>933</v>
      </c>
      <c r="F16" s="1155" t="s">
        <v>933</v>
      </c>
      <c r="G16" s="1154" t="s">
        <v>933</v>
      </c>
      <c r="H16" s="1155" t="s">
        <v>933</v>
      </c>
      <c r="I16" s="1154" t="s">
        <v>933</v>
      </c>
      <c r="J16" s="581"/>
      <c r="K16" s="725"/>
    </row>
    <row r="17" spans="2:11" ht="17">
      <c r="B17" s="738">
        <v>9</v>
      </c>
      <c r="C17" s="739" t="s">
        <v>934</v>
      </c>
      <c r="D17" s="1153">
        <v>2.4</v>
      </c>
      <c r="E17" s="1154">
        <v>0.4</v>
      </c>
      <c r="F17" s="1155">
        <v>0</v>
      </c>
      <c r="G17" s="1154">
        <v>3</v>
      </c>
      <c r="H17" s="1155">
        <v>1.4</v>
      </c>
      <c r="I17" s="1154">
        <v>0.9</v>
      </c>
      <c r="J17" s="581"/>
      <c r="K17" s="725"/>
    </row>
    <row r="18" spans="2:11" ht="17">
      <c r="B18" s="738">
        <v>10</v>
      </c>
      <c r="C18" s="741" t="s">
        <v>935</v>
      </c>
      <c r="D18" s="1156">
        <v>1.8</v>
      </c>
      <c r="E18" s="1157">
        <v>5</v>
      </c>
      <c r="F18" s="1158">
        <v>7.9</v>
      </c>
      <c r="G18" s="1157">
        <v>10.4</v>
      </c>
      <c r="H18" s="1158">
        <v>11.8</v>
      </c>
      <c r="I18" s="1157">
        <v>11.8</v>
      </c>
      <c r="J18" s="581"/>
      <c r="K18" s="725"/>
    </row>
    <row r="19" spans="2:11">
      <c r="B19" s="738">
        <v>11</v>
      </c>
      <c r="C19" s="739" t="s">
        <v>936</v>
      </c>
      <c r="D19" s="1153">
        <v>1576.9</v>
      </c>
      <c r="E19" s="1154">
        <v>1621.2</v>
      </c>
      <c r="F19" s="1155">
        <v>1724.6</v>
      </c>
      <c r="G19" s="1154">
        <v>1724.4</v>
      </c>
      <c r="H19" s="1155">
        <v>1736.7</v>
      </c>
      <c r="I19" s="1154">
        <v>1742.8</v>
      </c>
      <c r="J19" s="581"/>
      <c r="K19" s="725"/>
    </row>
    <row r="20" spans="2:11">
      <c r="B20" s="738"/>
      <c r="C20" s="740" t="s">
        <v>937</v>
      </c>
      <c r="D20" s="1156" t="s">
        <v>933</v>
      </c>
      <c r="E20" s="1157" t="s">
        <v>933</v>
      </c>
      <c r="F20" s="1158" t="s">
        <v>933</v>
      </c>
      <c r="G20" s="1157" t="s">
        <v>933</v>
      </c>
      <c r="H20" s="1158" t="s">
        <v>933</v>
      </c>
      <c r="I20" s="1157" t="s">
        <v>933</v>
      </c>
      <c r="J20" s="581"/>
      <c r="K20" s="725"/>
    </row>
    <row r="21" spans="2:11" ht="17">
      <c r="B21" s="738">
        <v>12</v>
      </c>
      <c r="C21" s="741" t="s">
        <v>935</v>
      </c>
      <c r="D21" s="1156">
        <v>27.9</v>
      </c>
      <c r="E21" s="1157">
        <v>78.3</v>
      </c>
      <c r="F21" s="1158">
        <v>124</v>
      </c>
      <c r="G21" s="1157">
        <v>163.69999999999999</v>
      </c>
      <c r="H21" s="1158">
        <v>184.6</v>
      </c>
      <c r="I21" s="1157">
        <v>184.6</v>
      </c>
      <c r="J21" s="581"/>
      <c r="K21" s="725"/>
    </row>
    <row r="22" spans="2:11">
      <c r="B22" s="736">
        <v>13</v>
      </c>
      <c r="C22" s="737" t="s">
        <v>938</v>
      </c>
      <c r="D22" s="1159">
        <v>709.3</v>
      </c>
      <c r="E22" s="1148">
        <v>716.6</v>
      </c>
      <c r="F22" s="1160">
        <v>724.8</v>
      </c>
      <c r="G22" s="1148">
        <v>721.8</v>
      </c>
      <c r="H22" s="1160">
        <v>718.6</v>
      </c>
      <c r="I22" s="1148">
        <v>716.6</v>
      </c>
      <c r="J22" s="581"/>
      <c r="K22" s="725"/>
    </row>
    <row r="23" spans="2:11">
      <c r="B23" s="736">
        <v>14</v>
      </c>
      <c r="C23" s="737" t="s">
        <v>939</v>
      </c>
      <c r="D23" s="1150">
        <v>2886.2</v>
      </c>
      <c r="E23" s="1151">
        <v>2901.2</v>
      </c>
      <c r="F23" s="1152">
        <v>2909.1</v>
      </c>
      <c r="G23" s="1151">
        <v>2922.8</v>
      </c>
      <c r="H23" s="1152">
        <v>2935.9</v>
      </c>
      <c r="I23" s="1151">
        <v>2951.7</v>
      </c>
      <c r="J23" s="581"/>
      <c r="K23" s="725"/>
    </row>
    <row r="24" spans="2:11">
      <c r="B24" s="738">
        <v>15</v>
      </c>
      <c r="C24" s="739" t="s">
        <v>940</v>
      </c>
      <c r="D24" s="1153">
        <v>1621.9</v>
      </c>
      <c r="E24" s="1154">
        <v>1630.2</v>
      </c>
      <c r="F24" s="1155">
        <v>1638.4</v>
      </c>
      <c r="G24" s="1154">
        <v>1642.3</v>
      </c>
      <c r="H24" s="1155">
        <v>1646.1</v>
      </c>
      <c r="I24" s="1154">
        <v>1650</v>
      </c>
      <c r="J24" s="581"/>
      <c r="K24" s="725"/>
    </row>
    <row r="25" spans="2:11">
      <c r="B25" s="738">
        <v>16</v>
      </c>
      <c r="C25" s="739" t="s">
        <v>941</v>
      </c>
      <c r="D25" s="1156">
        <v>1264.3</v>
      </c>
      <c r="E25" s="1157">
        <v>1271.0999999999999</v>
      </c>
      <c r="F25" s="1158">
        <v>1270.7</v>
      </c>
      <c r="G25" s="1157">
        <v>1280.5</v>
      </c>
      <c r="H25" s="1158">
        <v>1289.7</v>
      </c>
      <c r="I25" s="1157">
        <v>1301.8</v>
      </c>
      <c r="J25" s="581"/>
      <c r="K25" s="725"/>
    </row>
    <row r="26" spans="2:11">
      <c r="B26" s="736">
        <v>17</v>
      </c>
      <c r="C26" s="737" t="s">
        <v>942</v>
      </c>
      <c r="D26" s="1159">
        <v>5711.8</v>
      </c>
      <c r="E26" s="1148">
        <v>4123</v>
      </c>
      <c r="F26" s="1160">
        <v>8112.8</v>
      </c>
      <c r="G26" s="1148">
        <v>4711</v>
      </c>
      <c r="H26" s="1160">
        <v>4150.3999999999996</v>
      </c>
      <c r="I26" s="1148">
        <v>4066.8</v>
      </c>
      <c r="J26" s="581"/>
      <c r="K26" s="725"/>
    </row>
    <row r="27" spans="2:11">
      <c r="B27" s="738">
        <v>18</v>
      </c>
      <c r="C27" s="739" t="s">
        <v>943</v>
      </c>
      <c r="D27" s="1153">
        <v>5650.5</v>
      </c>
      <c r="E27" s="1154">
        <v>4061</v>
      </c>
      <c r="F27" s="1155">
        <v>8050.2</v>
      </c>
      <c r="G27" s="1154">
        <v>4647.8</v>
      </c>
      <c r="H27" s="1155">
        <v>4086.6</v>
      </c>
      <c r="I27" s="1154">
        <v>3976.9</v>
      </c>
      <c r="K27" s="725"/>
    </row>
    <row r="28" spans="2:11">
      <c r="B28" s="738">
        <v>19</v>
      </c>
      <c r="C28" s="739" t="s">
        <v>944</v>
      </c>
      <c r="D28" s="1153">
        <v>1103.9000000000001</v>
      </c>
      <c r="E28" s="1154">
        <v>1106</v>
      </c>
      <c r="F28" s="1155">
        <v>1109.0999999999999</v>
      </c>
      <c r="G28" s="1154">
        <v>1107.7</v>
      </c>
      <c r="H28" s="1155">
        <v>1108.2</v>
      </c>
      <c r="I28" s="1154">
        <v>1112.5999999999999</v>
      </c>
      <c r="K28" s="725"/>
    </row>
    <row r="29" spans="2:11">
      <c r="B29" s="738">
        <v>20</v>
      </c>
      <c r="C29" s="739" t="s">
        <v>945</v>
      </c>
      <c r="D29" s="1156">
        <v>815.6</v>
      </c>
      <c r="E29" s="1157">
        <v>813.8</v>
      </c>
      <c r="F29" s="1158">
        <v>813</v>
      </c>
      <c r="G29" s="1157">
        <v>813.4</v>
      </c>
      <c r="H29" s="1158">
        <v>814.9</v>
      </c>
      <c r="I29" s="1157">
        <v>817.5</v>
      </c>
      <c r="J29" s="581">
        <f>Medicare!O10</f>
        <v>829.40291089552829</v>
      </c>
      <c r="K29" s="725"/>
    </row>
    <row r="30" spans="2:11">
      <c r="B30" s="738"/>
      <c r="C30" s="740" t="s">
        <v>946</v>
      </c>
      <c r="D30" s="1153" t="s">
        <v>933</v>
      </c>
      <c r="E30" s="1154" t="s">
        <v>933</v>
      </c>
      <c r="F30" s="1155" t="s">
        <v>933</v>
      </c>
      <c r="G30" s="1154" t="s">
        <v>933</v>
      </c>
      <c r="H30" s="1155" t="s">
        <v>933</v>
      </c>
      <c r="I30" s="1154" t="s">
        <v>933</v>
      </c>
      <c r="J30" s="581"/>
      <c r="K30" s="725"/>
    </row>
    <row r="31" spans="2:11" ht="17">
      <c r="B31" s="738">
        <v>21</v>
      </c>
      <c r="C31" s="739" t="s">
        <v>947</v>
      </c>
      <c r="D31" s="1153">
        <v>14.2</v>
      </c>
      <c r="E31" s="1154">
        <v>14.1</v>
      </c>
      <c r="F31" s="1155">
        <v>14.1</v>
      </c>
      <c r="G31" s="1154">
        <v>14.1</v>
      </c>
      <c r="H31" s="1155">
        <v>14.1</v>
      </c>
      <c r="I31" s="1154">
        <v>14.2</v>
      </c>
      <c r="J31" s="581"/>
      <c r="K31" s="725"/>
    </row>
    <row r="32" spans="2:11">
      <c r="B32" s="738">
        <v>22</v>
      </c>
      <c r="C32" s="739" t="s">
        <v>948</v>
      </c>
      <c r="D32" s="1156">
        <v>688.5</v>
      </c>
      <c r="E32" s="1157">
        <v>696.2</v>
      </c>
      <c r="F32" s="1158">
        <v>703</v>
      </c>
      <c r="G32" s="1157">
        <v>709.1</v>
      </c>
      <c r="H32" s="1158">
        <v>713.4</v>
      </c>
      <c r="I32" s="1157">
        <v>716.2</v>
      </c>
      <c r="J32" s="581">
        <f>Medicaid!K25</f>
        <v>752.5471675758439</v>
      </c>
      <c r="K32" s="725"/>
    </row>
    <row r="33" spans="2:11">
      <c r="B33" s="738">
        <v>23</v>
      </c>
      <c r="C33" s="739" t="s">
        <v>949</v>
      </c>
      <c r="D33" s="1153">
        <v>574.20000000000005</v>
      </c>
      <c r="E33" s="1154">
        <v>557.5</v>
      </c>
      <c r="F33" s="1155">
        <v>565.5</v>
      </c>
      <c r="G33" s="1154">
        <v>516.4</v>
      </c>
      <c r="H33" s="1155">
        <v>492</v>
      </c>
      <c r="I33" s="1154">
        <v>437.9</v>
      </c>
      <c r="J33" s="727">
        <f>'Unemployment Insurance'!O11</f>
        <v>435.30058054787651</v>
      </c>
      <c r="K33" s="728"/>
    </row>
    <row r="34" spans="2:11" ht="17">
      <c r="B34" s="738"/>
      <c r="C34" s="742" t="s">
        <v>950</v>
      </c>
      <c r="D34" s="1156" t="s">
        <v>933</v>
      </c>
      <c r="E34" s="1157" t="s">
        <v>933</v>
      </c>
      <c r="F34" s="1158" t="s">
        <v>933</v>
      </c>
      <c r="G34" s="1157" t="s">
        <v>933</v>
      </c>
      <c r="H34" s="1158" t="s">
        <v>933</v>
      </c>
      <c r="I34" s="1157" t="s">
        <v>933</v>
      </c>
      <c r="J34" s="581"/>
      <c r="K34" s="725"/>
    </row>
    <row r="35" spans="2:11">
      <c r="B35" s="738">
        <v>24</v>
      </c>
      <c r="C35" s="743" t="s">
        <v>951</v>
      </c>
      <c r="D35" s="1156">
        <v>31.9</v>
      </c>
      <c r="E35" s="1157">
        <v>25.9</v>
      </c>
      <c r="F35" s="1158">
        <v>17.100000000000001</v>
      </c>
      <c r="G35" s="1157">
        <v>9.6999999999999993</v>
      </c>
      <c r="H35" s="1158">
        <v>4.8</v>
      </c>
      <c r="I35" s="1157">
        <v>3</v>
      </c>
      <c r="J35" s="727"/>
      <c r="K35" s="728"/>
    </row>
    <row r="36" spans="2:11">
      <c r="B36" s="738">
        <v>25</v>
      </c>
      <c r="C36" s="744" t="s">
        <v>952</v>
      </c>
      <c r="D36" s="1153">
        <v>81.099999999999994</v>
      </c>
      <c r="E36" s="1154">
        <v>100.1</v>
      </c>
      <c r="F36" s="1155">
        <v>112.1</v>
      </c>
      <c r="G36" s="1154">
        <v>105.8</v>
      </c>
      <c r="H36" s="1155">
        <v>106.9</v>
      </c>
      <c r="I36" s="1154">
        <v>102.5</v>
      </c>
      <c r="J36" s="727"/>
      <c r="K36" s="728"/>
    </row>
    <row r="37" spans="2:11">
      <c r="B37" s="738">
        <v>26</v>
      </c>
      <c r="C37" s="744" t="s">
        <v>953</v>
      </c>
      <c r="D37" s="1156">
        <v>95.4</v>
      </c>
      <c r="E37" s="1157">
        <v>97</v>
      </c>
      <c r="F37" s="1158">
        <v>93.4</v>
      </c>
      <c r="G37" s="1157">
        <v>90.9</v>
      </c>
      <c r="H37" s="1158">
        <v>81.3</v>
      </c>
      <c r="I37" s="1157">
        <v>75</v>
      </c>
      <c r="J37" s="727"/>
      <c r="K37" s="728"/>
    </row>
    <row r="38" spans="2:11">
      <c r="B38" s="738">
        <v>27</v>
      </c>
      <c r="C38" s="744" t="s">
        <v>954</v>
      </c>
      <c r="D38" s="1153">
        <v>297.8</v>
      </c>
      <c r="E38" s="1154">
        <v>273.7</v>
      </c>
      <c r="F38" s="1155">
        <v>289.3</v>
      </c>
      <c r="G38" s="1154">
        <v>258.2</v>
      </c>
      <c r="H38" s="1155">
        <v>247.2</v>
      </c>
      <c r="I38" s="1154">
        <v>208.7</v>
      </c>
      <c r="J38" s="727"/>
      <c r="K38" s="728"/>
    </row>
    <row r="39" spans="2:11">
      <c r="B39" s="738">
        <v>28</v>
      </c>
      <c r="C39" s="739" t="s">
        <v>955</v>
      </c>
      <c r="D39" s="1156">
        <v>151.30000000000001</v>
      </c>
      <c r="E39" s="1157">
        <v>152.4</v>
      </c>
      <c r="F39" s="1158">
        <v>153.6</v>
      </c>
      <c r="G39" s="1157">
        <v>155</v>
      </c>
      <c r="H39" s="1158">
        <v>156.5</v>
      </c>
      <c r="I39" s="1157">
        <v>158</v>
      </c>
      <c r="J39" s="581"/>
      <c r="K39" s="725"/>
    </row>
    <row r="40" spans="2:11">
      <c r="B40" s="738">
        <v>29</v>
      </c>
      <c r="C40" s="739" t="s">
        <v>956</v>
      </c>
      <c r="D40" s="1153">
        <v>2317</v>
      </c>
      <c r="E40" s="1154">
        <v>735.2</v>
      </c>
      <c r="F40" s="1155">
        <v>4706</v>
      </c>
      <c r="G40" s="1154">
        <v>1346.2</v>
      </c>
      <c r="H40" s="1155">
        <v>801.6</v>
      </c>
      <c r="I40" s="1154">
        <v>734.6</v>
      </c>
      <c r="J40" s="581"/>
      <c r="K40" s="725"/>
    </row>
    <row r="41" spans="2:11">
      <c r="B41" s="738"/>
      <c r="C41" s="742" t="s">
        <v>957</v>
      </c>
      <c r="D41" s="1156" t="s">
        <v>933</v>
      </c>
      <c r="E41" s="1157" t="s">
        <v>933</v>
      </c>
      <c r="F41" s="1158" t="s">
        <v>933</v>
      </c>
      <c r="G41" s="1157" t="s">
        <v>933</v>
      </c>
      <c r="H41" s="1158" t="s">
        <v>933</v>
      </c>
      <c r="I41" s="1157" t="s">
        <v>933</v>
      </c>
      <c r="J41" s="581"/>
      <c r="K41" s="725"/>
    </row>
    <row r="42" spans="2:11" ht="17">
      <c r="B42" s="738">
        <v>30</v>
      </c>
      <c r="C42" s="743" t="s">
        <v>958</v>
      </c>
      <c r="D42" s="1156">
        <v>1660.9</v>
      </c>
      <c r="E42" s="1157">
        <v>95.9</v>
      </c>
      <c r="F42" s="1158">
        <v>4044.2</v>
      </c>
      <c r="G42" s="1157">
        <v>688</v>
      </c>
      <c r="H42" s="1158">
        <v>128.6</v>
      </c>
      <c r="I42" s="1157">
        <v>53.8</v>
      </c>
      <c r="J42" s="581"/>
      <c r="K42" s="725"/>
    </row>
    <row r="43" spans="2:11" ht="17">
      <c r="B43" s="738">
        <v>31</v>
      </c>
      <c r="C43" s="743" t="s">
        <v>959</v>
      </c>
      <c r="D43" s="1153">
        <v>2.1</v>
      </c>
      <c r="E43" s="1154">
        <v>0.7</v>
      </c>
      <c r="F43" s="1155">
        <v>2.1</v>
      </c>
      <c r="G43" s="1154">
        <v>0.8</v>
      </c>
      <c r="H43" s="1155">
        <v>0.5</v>
      </c>
      <c r="I43" s="1154">
        <v>0.5</v>
      </c>
      <c r="J43" s="727"/>
      <c r="K43" s="725"/>
    </row>
    <row r="44" spans="2:11" ht="17">
      <c r="B44" s="738">
        <v>32</v>
      </c>
      <c r="C44" s="741" t="s">
        <v>960</v>
      </c>
      <c r="D44" s="1156">
        <v>4.2</v>
      </c>
      <c r="E44" s="1157">
        <v>11</v>
      </c>
      <c r="F44" s="1158">
        <v>17.3</v>
      </c>
      <c r="G44" s="1157">
        <v>22.8</v>
      </c>
      <c r="H44" s="1158">
        <v>25.7</v>
      </c>
      <c r="I44" s="1157">
        <v>25.7</v>
      </c>
      <c r="J44" s="727"/>
      <c r="K44" s="725"/>
    </row>
    <row r="45" spans="2:11" ht="17">
      <c r="B45" s="738">
        <v>33</v>
      </c>
      <c r="C45" s="739" t="s">
        <v>961</v>
      </c>
      <c r="D45" s="1153">
        <v>56.9</v>
      </c>
      <c r="E45" s="1154">
        <v>28.1</v>
      </c>
      <c r="F45" s="1155">
        <v>43.4</v>
      </c>
      <c r="G45" s="1154">
        <v>27.6</v>
      </c>
      <c r="H45" s="1155">
        <v>28.4</v>
      </c>
      <c r="I45" s="1154">
        <v>23.9</v>
      </c>
      <c r="J45" s="581"/>
      <c r="K45" s="725"/>
    </row>
    <row r="46" spans="2:11">
      <c r="B46" s="738">
        <v>34</v>
      </c>
      <c r="C46" s="739" t="s">
        <v>962</v>
      </c>
      <c r="D46" s="1156">
        <v>61.4</v>
      </c>
      <c r="E46" s="1157">
        <v>62</v>
      </c>
      <c r="F46" s="1158">
        <v>62.6</v>
      </c>
      <c r="G46" s="1157">
        <v>63.2</v>
      </c>
      <c r="H46" s="1158">
        <v>63.8</v>
      </c>
      <c r="I46" s="1157">
        <v>89.9</v>
      </c>
      <c r="J46" s="581"/>
      <c r="K46" s="725"/>
    </row>
    <row r="47" spans="2:11">
      <c r="B47" s="736">
        <v>35</v>
      </c>
      <c r="C47" s="737" t="s">
        <v>963</v>
      </c>
      <c r="D47" s="1159">
        <v>1534.7</v>
      </c>
      <c r="E47" s="1148">
        <v>1529.1</v>
      </c>
      <c r="F47" s="1160">
        <v>1537.7</v>
      </c>
      <c r="G47" s="1148">
        <v>1548.9</v>
      </c>
      <c r="H47" s="1160">
        <v>1556.7</v>
      </c>
      <c r="I47" s="1148">
        <v>1566.2</v>
      </c>
      <c r="J47" s="726">
        <f>Taxes!O11+Taxes!O18</f>
        <v>1598.6729008196774</v>
      </c>
      <c r="K47" s="728"/>
    </row>
    <row r="48" spans="2:11">
      <c r="B48" s="736">
        <v>36</v>
      </c>
      <c r="C48" s="737" t="s">
        <v>964</v>
      </c>
      <c r="D48" s="1150">
        <v>2301.4</v>
      </c>
      <c r="E48" s="1151">
        <v>2314.6</v>
      </c>
      <c r="F48" s="1152">
        <v>2340.1</v>
      </c>
      <c r="G48" s="1151">
        <v>2393.1999999999998</v>
      </c>
      <c r="H48" s="1152">
        <v>2430.1999999999998</v>
      </c>
      <c r="I48" s="1151">
        <v>2458.9</v>
      </c>
      <c r="J48" s="726">
        <f>Taxes!O10+Taxes!O17</f>
        <v>2577.4731998084076</v>
      </c>
      <c r="K48" s="728"/>
    </row>
    <row r="49" spans="2:11">
      <c r="B49" s="736">
        <v>37</v>
      </c>
      <c r="C49" s="737" t="s">
        <v>965</v>
      </c>
      <c r="D49" s="1159">
        <v>19203.099999999999</v>
      </c>
      <c r="E49" s="1148">
        <v>17640.400000000001</v>
      </c>
      <c r="F49" s="1160">
        <v>21802.3</v>
      </c>
      <c r="G49" s="1148">
        <v>18460</v>
      </c>
      <c r="H49" s="1160">
        <v>17958</v>
      </c>
      <c r="I49" s="1148">
        <v>17955.400000000001</v>
      </c>
      <c r="J49" s="581"/>
      <c r="K49" s="725"/>
    </row>
    <row r="50" spans="2:11">
      <c r="B50" s="736">
        <v>38</v>
      </c>
      <c r="C50" s="737" t="s">
        <v>966</v>
      </c>
      <c r="D50" s="1150">
        <v>15321.7</v>
      </c>
      <c r="E50" s="1151">
        <v>15169.7</v>
      </c>
      <c r="F50" s="1152">
        <v>15935.3</v>
      </c>
      <c r="G50" s="1151">
        <v>16110.5</v>
      </c>
      <c r="H50" s="1152">
        <v>16100</v>
      </c>
      <c r="I50" s="1151">
        <v>16258.8</v>
      </c>
      <c r="J50" s="581"/>
      <c r="K50" s="725"/>
    </row>
    <row r="51" spans="2:11">
      <c r="B51" s="738">
        <v>39</v>
      </c>
      <c r="C51" s="739" t="s">
        <v>967</v>
      </c>
      <c r="D51" s="1153">
        <v>14857.9</v>
      </c>
      <c r="E51" s="1154">
        <v>14699.6</v>
      </c>
      <c r="F51" s="1155">
        <v>15458.9</v>
      </c>
      <c r="G51" s="1154">
        <v>15630</v>
      </c>
      <c r="H51" s="1155">
        <v>15616.2</v>
      </c>
      <c r="I51" s="1154">
        <v>15771.6</v>
      </c>
      <c r="J51" s="581"/>
      <c r="K51" s="725"/>
    </row>
    <row r="52" spans="2:11">
      <c r="B52" s="738">
        <v>40</v>
      </c>
      <c r="C52" s="739" t="s">
        <v>968</v>
      </c>
      <c r="D52" s="1156">
        <v>249.2</v>
      </c>
      <c r="E52" s="1157">
        <v>255.3</v>
      </c>
      <c r="F52" s="1158">
        <v>261.5</v>
      </c>
      <c r="G52" s="1157">
        <v>264.60000000000002</v>
      </c>
      <c r="H52" s="1158">
        <v>267.8</v>
      </c>
      <c r="I52" s="1157">
        <v>270.89999999999998</v>
      </c>
      <c r="J52" s="581"/>
      <c r="K52" s="725"/>
    </row>
    <row r="53" spans="2:11">
      <c r="B53" s="738"/>
      <c r="C53" s="745" t="s">
        <v>969</v>
      </c>
      <c r="D53" s="1153" t="s">
        <v>933</v>
      </c>
      <c r="E53" s="1154" t="s">
        <v>933</v>
      </c>
      <c r="F53" s="1155" t="s">
        <v>933</v>
      </c>
      <c r="G53" s="1154" t="s">
        <v>933</v>
      </c>
      <c r="H53" s="1155" t="s">
        <v>933</v>
      </c>
      <c r="I53" s="1154" t="s">
        <v>933</v>
      </c>
      <c r="J53" s="581"/>
      <c r="K53" s="725"/>
    </row>
    <row r="54" spans="2:11" ht="17">
      <c r="B54" s="738">
        <v>41</v>
      </c>
      <c r="C54" s="746" t="s">
        <v>970</v>
      </c>
      <c r="D54" s="1153">
        <v>-37.799999999999997</v>
      </c>
      <c r="E54" s="1154">
        <v>-37.799999999999997</v>
      </c>
      <c r="F54" s="1155">
        <v>-37.799999999999997</v>
      </c>
      <c r="G54" s="1154">
        <v>-37.799999999999997</v>
      </c>
      <c r="H54" s="1155">
        <v>-37.799999999999997</v>
      </c>
      <c r="I54" s="1154">
        <v>-37.799999999999997</v>
      </c>
      <c r="J54" s="581"/>
      <c r="K54" s="725"/>
    </row>
    <row r="55" spans="2:11">
      <c r="B55" s="738">
        <v>42</v>
      </c>
      <c r="C55" s="739" t="s">
        <v>971</v>
      </c>
      <c r="D55" s="1156">
        <v>214.7</v>
      </c>
      <c r="E55" s="1157">
        <v>214.8</v>
      </c>
      <c r="F55" s="1158">
        <v>215</v>
      </c>
      <c r="G55" s="1157">
        <v>215.9</v>
      </c>
      <c r="H55" s="1158">
        <v>216.1</v>
      </c>
      <c r="I55" s="1157">
        <v>216.2</v>
      </c>
      <c r="J55" s="581"/>
      <c r="K55" s="725"/>
    </row>
    <row r="56" spans="2:11">
      <c r="B56" s="738">
        <v>43</v>
      </c>
      <c r="C56" s="739" t="s">
        <v>972</v>
      </c>
      <c r="D56" s="1153">
        <v>115.2</v>
      </c>
      <c r="E56" s="1154">
        <v>115.3</v>
      </c>
      <c r="F56" s="1155">
        <v>115.5</v>
      </c>
      <c r="G56" s="1154">
        <v>115.6</v>
      </c>
      <c r="H56" s="1155">
        <v>115.8</v>
      </c>
      <c r="I56" s="1154">
        <v>115.9</v>
      </c>
      <c r="J56" s="581"/>
      <c r="K56" s="725"/>
    </row>
    <row r="57" spans="2:11">
      <c r="B57" s="738">
        <v>44</v>
      </c>
      <c r="C57" s="739" t="s">
        <v>973</v>
      </c>
      <c r="D57" s="1156">
        <v>99.5</v>
      </c>
      <c r="E57" s="1157">
        <v>99.5</v>
      </c>
      <c r="F57" s="1158">
        <v>99.5</v>
      </c>
      <c r="G57" s="1157">
        <v>100.3</v>
      </c>
      <c r="H57" s="1158">
        <v>100.3</v>
      </c>
      <c r="I57" s="1157">
        <v>100.3</v>
      </c>
      <c r="J57" s="581"/>
      <c r="K57" s="725"/>
    </row>
    <row r="58" spans="2:11" ht="16" thickBot="1">
      <c r="B58" s="747">
        <v>45</v>
      </c>
      <c r="C58" s="748" t="s">
        <v>974</v>
      </c>
      <c r="D58" s="1161">
        <v>3881.4</v>
      </c>
      <c r="E58" s="1162">
        <v>2470.6999999999998</v>
      </c>
      <c r="F58" s="1163">
        <v>5867</v>
      </c>
      <c r="G58" s="1162">
        <v>2349.4</v>
      </c>
      <c r="H58" s="1163">
        <v>1857.9</v>
      </c>
      <c r="I58" s="1162">
        <v>1696.6</v>
      </c>
      <c r="J58" s="729"/>
      <c r="K58" s="712"/>
    </row>
    <row r="59" spans="2:11">
      <c r="E59" s="1164"/>
      <c r="F59" s="1164"/>
      <c r="G59" s="1164"/>
      <c r="H59" s="1164"/>
      <c r="I59" s="1164"/>
      <c r="J59" s="1164"/>
      <c r="K59" s="1164"/>
    </row>
    <row r="60" spans="2:11">
      <c r="B60" s="299" t="s">
        <v>975</v>
      </c>
      <c r="C60" s="715" t="s">
        <v>976</v>
      </c>
    </row>
    <row r="61" spans="2:11">
      <c r="B61" s="299" t="s">
        <v>977</v>
      </c>
      <c r="C61" s="716" t="s">
        <v>978</v>
      </c>
    </row>
    <row r="62" spans="2:11">
      <c r="B62" s="299" t="s">
        <v>979</v>
      </c>
      <c r="C62" s="716" t="s">
        <v>980</v>
      </c>
    </row>
    <row r="63" spans="2:11">
      <c r="B63" s="299" t="s">
        <v>981</v>
      </c>
      <c r="C63" s="716" t="s">
        <v>982</v>
      </c>
    </row>
    <row r="65" spans="2:2">
      <c r="B65" s="299" t="s">
        <v>983</v>
      </c>
    </row>
    <row r="66" spans="2:2">
      <c r="B66" s="299" t="s">
        <v>984</v>
      </c>
    </row>
    <row r="67" spans="2:2">
      <c r="B67" s="638" t="s">
        <v>985</v>
      </c>
    </row>
    <row r="68" spans="2:2">
      <c r="B68" s="637" t="s">
        <v>986</v>
      </c>
    </row>
    <row r="69" spans="2:2">
      <c r="B69" s="717" t="s">
        <v>987</v>
      </c>
    </row>
    <row r="70" spans="2:2">
      <c r="B70" s="638" t="s">
        <v>988</v>
      </c>
    </row>
    <row r="71" spans="2:2">
      <c r="B71" s="638" t="s">
        <v>989</v>
      </c>
    </row>
    <row r="72" spans="2:2">
      <c r="B72" s="639" t="s">
        <v>990</v>
      </c>
    </row>
    <row r="73" spans="2:2">
      <c r="B73" s="717" t="s">
        <v>991</v>
      </c>
    </row>
    <row r="74" spans="2:2">
      <c r="B74" s="718" t="s">
        <v>992</v>
      </c>
    </row>
    <row r="75" spans="2:2">
      <c r="B75" s="640" t="s">
        <v>993</v>
      </c>
    </row>
    <row r="76" spans="2:2">
      <c r="B76" s="638" t="s">
        <v>994</v>
      </c>
    </row>
    <row r="77" spans="2:2">
      <c r="B77" s="638" t="s">
        <v>995</v>
      </c>
    </row>
    <row r="78" spans="2:2">
      <c r="B78" s="638" t="s">
        <v>996</v>
      </c>
    </row>
    <row r="79" spans="2:2">
      <c r="B79" s="638" t="s">
        <v>997</v>
      </c>
    </row>
    <row r="80" spans="2:2">
      <c r="B80" s="718" t="s">
        <v>998</v>
      </c>
    </row>
    <row r="81" spans="2:2">
      <c r="B81" s="641" t="s">
        <v>999</v>
      </c>
    </row>
    <row r="83" spans="2:2">
      <c r="B83" s="299" t="s">
        <v>1000</v>
      </c>
    </row>
    <row r="84" spans="2:2">
      <c r="B84" s="299" t="s">
        <v>1001</v>
      </c>
    </row>
    <row r="85" spans="2:2">
      <c r="B85" s="637" t="s">
        <v>1002</v>
      </c>
    </row>
    <row r="87" spans="2:2" ht="13.75" customHeight="1">
      <c r="B87" s="299" t="s">
        <v>1003</v>
      </c>
    </row>
    <row r="88" spans="2:2" ht="6" customHeight="1"/>
    <row r="89" spans="2:2">
      <c r="B89" s="299" t="s">
        <v>1004</v>
      </c>
    </row>
    <row r="91" spans="2:2">
      <c r="B91" s="719"/>
    </row>
    <row r="92" spans="2:2">
      <c r="B92" s="719"/>
    </row>
    <row r="93" spans="2:2">
      <c r="B93" s="719"/>
    </row>
    <row r="98" spans="2:16" s="581" customFormat="1"/>
    <row r="99" spans="2:16" s="581" customFormat="1">
      <c r="B99" s="749"/>
      <c r="C99" s="749"/>
      <c r="D99" s="749"/>
      <c r="E99" s="749"/>
      <c r="F99" s="749"/>
      <c r="G99" s="749"/>
      <c r="H99" s="749"/>
      <c r="I99" s="749"/>
      <c r="J99" s="749"/>
      <c r="K99" s="750"/>
      <c r="L99" s="750"/>
      <c r="M99" s="750"/>
      <c r="N99" s="750"/>
      <c r="O99" s="750"/>
      <c r="P99" s="750"/>
    </row>
    <row r="100" spans="2:16" s="581" customFormat="1">
      <c r="B100" s="1346"/>
      <c r="C100" s="1346"/>
      <c r="D100" s="1346"/>
      <c r="E100" s="1346"/>
      <c r="F100" s="1346"/>
      <c r="G100" s="1346"/>
      <c r="H100" s="1346"/>
      <c r="I100" s="1346"/>
      <c r="J100" s="1346"/>
      <c r="K100" s="1346"/>
      <c r="L100" s="1346"/>
      <c r="M100" s="1346"/>
      <c r="N100" s="1346"/>
      <c r="O100" s="1346"/>
      <c r="P100" s="1346"/>
    </row>
    <row r="101" spans="2:16" s="581" customFormat="1">
      <c r="B101" s="1346"/>
      <c r="C101" s="1346"/>
      <c r="D101" s="1346"/>
      <c r="E101" s="1346"/>
      <c r="F101" s="1346"/>
      <c r="G101" s="1346"/>
      <c r="H101" s="1346"/>
      <c r="I101" s="1346"/>
      <c r="J101" s="1346"/>
      <c r="K101" s="1346"/>
      <c r="L101" s="1346"/>
      <c r="M101" s="1346"/>
      <c r="N101" s="1346"/>
      <c r="O101" s="1346"/>
      <c r="P101" s="1346"/>
    </row>
    <row r="102" spans="2:16" s="581" customFormat="1">
      <c r="B102" s="1346"/>
      <c r="C102" s="1346"/>
      <c r="D102" s="1346"/>
      <c r="E102" s="1346"/>
      <c r="F102" s="1346"/>
      <c r="G102" s="1346"/>
      <c r="H102" s="1346"/>
      <c r="I102" s="1103"/>
      <c r="J102" s="751"/>
      <c r="K102" s="749"/>
      <c r="L102" s="749"/>
      <c r="M102" s="749"/>
      <c r="N102" s="749"/>
      <c r="O102" s="749"/>
      <c r="P102" s="749"/>
    </row>
    <row r="103" spans="2:16" s="581" customFormat="1">
      <c r="B103" s="752"/>
      <c r="C103" s="749"/>
      <c r="D103" s="1345"/>
      <c r="E103" s="1345"/>
      <c r="F103" s="1345"/>
      <c r="G103" s="1345"/>
      <c r="H103" s="1345"/>
      <c r="I103" s="1345"/>
      <c r="J103" s="1345"/>
    </row>
    <row r="104" spans="2:16" s="581" customFormat="1">
      <c r="B104" s="722"/>
      <c r="C104" s="749"/>
      <c r="D104" s="1345"/>
      <c r="E104" s="1345"/>
      <c r="F104" s="1345"/>
      <c r="G104" s="1345"/>
      <c r="H104" s="1345"/>
      <c r="I104" s="1345"/>
      <c r="J104" s="1345"/>
    </row>
    <row r="105" spans="2:16" s="581" customFormat="1">
      <c r="B105" s="749"/>
      <c r="C105" s="749"/>
      <c r="D105" s="722"/>
      <c r="E105" s="722"/>
      <c r="F105" s="722"/>
      <c r="G105" s="722"/>
      <c r="H105" s="722"/>
      <c r="I105" s="1102"/>
      <c r="J105" s="722"/>
    </row>
    <row r="106" spans="2:16" s="581" customFormat="1">
      <c r="B106" s="752"/>
      <c r="C106" s="753"/>
      <c r="D106" s="724"/>
      <c r="E106" s="724"/>
      <c r="F106" s="724"/>
      <c r="G106" s="724"/>
      <c r="H106" s="724"/>
      <c r="I106" s="724"/>
      <c r="J106" s="724"/>
    </row>
    <row r="107" spans="2:16" s="581" customFormat="1">
      <c r="B107" s="752"/>
      <c r="C107" s="753"/>
      <c r="D107" s="724"/>
      <c r="E107" s="724"/>
      <c r="F107" s="724"/>
      <c r="G107" s="724"/>
      <c r="H107" s="724"/>
      <c r="I107" s="724"/>
      <c r="J107" s="724"/>
    </row>
    <row r="108" spans="2:16" s="581" customFormat="1">
      <c r="B108" s="749"/>
      <c r="C108" s="749"/>
      <c r="D108" s="714"/>
      <c r="E108" s="714"/>
      <c r="F108" s="714"/>
      <c r="G108" s="714"/>
      <c r="H108" s="714"/>
      <c r="I108" s="714"/>
      <c r="J108" s="714"/>
    </row>
    <row r="109" spans="2:16" s="581" customFormat="1">
      <c r="B109" s="749"/>
      <c r="C109" s="749"/>
      <c r="D109" s="714"/>
      <c r="E109" s="714"/>
      <c r="F109" s="714"/>
      <c r="G109" s="714"/>
      <c r="H109" s="714"/>
      <c r="I109" s="714"/>
      <c r="J109" s="714"/>
    </row>
    <row r="110" spans="2:16" s="581" customFormat="1">
      <c r="B110" s="749"/>
      <c r="C110" s="749"/>
      <c r="D110" s="714"/>
      <c r="E110" s="714"/>
      <c r="F110" s="714"/>
      <c r="G110" s="714"/>
      <c r="H110" s="714"/>
      <c r="I110" s="714"/>
      <c r="J110" s="714"/>
    </row>
    <row r="111" spans="2:16" s="581" customFormat="1">
      <c r="B111" s="749"/>
      <c r="C111" s="749"/>
      <c r="D111" s="714"/>
      <c r="E111" s="714"/>
      <c r="F111" s="714"/>
      <c r="G111" s="714"/>
      <c r="H111" s="714"/>
      <c r="I111" s="714"/>
      <c r="J111" s="714"/>
    </row>
    <row r="112" spans="2:16" s="581" customFormat="1">
      <c r="B112" s="752"/>
      <c r="C112" s="753"/>
      <c r="D112" s="724"/>
      <c r="E112" s="724"/>
      <c r="F112" s="724"/>
      <c r="G112" s="724"/>
      <c r="H112" s="724"/>
      <c r="I112" s="724"/>
      <c r="J112" s="724"/>
    </row>
    <row r="113" spans="2:10" s="581" customFormat="1">
      <c r="B113" s="749"/>
      <c r="C113" s="749"/>
      <c r="D113" s="714"/>
      <c r="E113" s="714"/>
      <c r="F113" s="714"/>
      <c r="G113" s="714"/>
      <c r="H113" s="714"/>
      <c r="I113" s="714"/>
      <c r="J113" s="714"/>
    </row>
    <row r="114" spans="2:10" s="581" customFormat="1">
      <c r="B114" s="749"/>
      <c r="C114" s="754"/>
      <c r="D114" s="714"/>
      <c r="E114" s="714"/>
      <c r="F114" s="714"/>
      <c r="G114" s="714"/>
      <c r="H114" s="714"/>
      <c r="I114" s="714"/>
      <c r="J114" s="714"/>
    </row>
    <row r="115" spans="2:10" s="581" customFormat="1">
      <c r="B115" s="749"/>
      <c r="C115" s="749"/>
      <c r="D115" s="714"/>
      <c r="E115" s="714"/>
      <c r="F115" s="714"/>
      <c r="G115" s="714"/>
      <c r="H115" s="714"/>
      <c r="I115" s="714"/>
      <c r="J115" s="714"/>
    </row>
    <row r="116" spans="2:10" s="581" customFormat="1">
      <c r="B116" s="749"/>
      <c r="C116" s="749"/>
      <c r="D116" s="714"/>
      <c r="E116" s="714"/>
      <c r="F116" s="714"/>
      <c r="G116" s="714"/>
      <c r="H116" s="714"/>
      <c r="I116" s="714"/>
      <c r="J116" s="714"/>
    </row>
    <row r="117" spans="2:10" s="581" customFormat="1">
      <c r="B117" s="749"/>
      <c r="C117" s="749"/>
      <c r="D117" s="714"/>
      <c r="E117" s="714"/>
      <c r="F117" s="714"/>
      <c r="G117" s="714"/>
      <c r="H117" s="714"/>
      <c r="I117" s="714"/>
      <c r="J117" s="714"/>
    </row>
    <row r="118" spans="2:10" s="581" customFormat="1">
      <c r="B118" s="749"/>
      <c r="C118" s="754"/>
      <c r="D118" s="714"/>
      <c r="E118" s="714"/>
      <c r="F118" s="714"/>
      <c r="G118" s="714"/>
      <c r="H118" s="714"/>
      <c r="I118" s="714"/>
      <c r="J118" s="714"/>
    </row>
    <row r="119" spans="2:10" s="581" customFormat="1">
      <c r="B119" s="749"/>
      <c r="C119" s="749"/>
      <c r="D119" s="714"/>
      <c r="E119" s="714"/>
      <c r="F119" s="714"/>
      <c r="G119" s="714"/>
      <c r="H119" s="714"/>
      <c r="I119" s="714"/>
      <c r="J119" s="714"/>
    </row>
    <row r="120" spans="2:10" s="581" customFormat="1">
      <c r="B120" s="752"/>
      <c r="C120" s="753"/>
      <c r="D120" s="724"/>
      <c r="E120" s="724"/>
      <c r="F120" s="724"/>
      <c r="G120" s="724"/>
      <c r="H120" s="724"/>
      <c r="I120" s="724"/>
      <c r="J120" s="724"/>
    </row>
    <row r="121" spans="2:10" s="581" customFormat="1">
      <c r="B121" s="752"/>
      <c r="C121" s="753"/>
      <c r="D121" s="724"/>
      <c r="E121" s="724"/>
      <c r="F121" s="724"/>
      <c r="G121" s="724"/>
      <c r="H121" s="724"/>
      <c r="I121" s="724"/>
      <c r="J121" s="724"/>
    </row>
    <row r="122" spans="2:10" s="581" customFormat="1">
      <c r="B122" s="749"/>
      <c r="C122" s="749"/>
      <c r="D122" s="714"/>
      <c r="E122" s="714"/>
      <c r="F122" s="714"/>
      <c r="G122" s="714"/>
      <c r="H122" s="714"/>
      <c r="I122" s="714"/>
      <c r="J122" s="714"/>
    </row>
    <row r="123" spans="2:10" s="581" customFormat="1">
      <c r="B123" s="749"/>
      <c r="C123" s="749"/>
      <c r="D123" s="714"/>
      <c r="E123" s="714"/>
      <c r="F123" s="714"/>
      <c r="G123" s="714"/>
      <c r="H123" s="714"/>
      <c r="I123" s="714"/>
      <c r="J123" s="714"/>
    </row>
    <row r="124" spans="2:10" s="581" customFormat="1">
      <c r="B124" s="752"/>
      <c r="C124" s="753"/>
      <c r="D124" s="724"/>
      <c r="E124" s="724"/>
      <c r="F124" s="724"/>
      <c r="G124" s="724"/>
      <c r="H124" s="724"/>
      <c r="I124" s="724"/>
      <c r="J124" s="724"/>
    </row>
    <row r="125" spans="2:10" s="581" customFormat="1">
      <c r="B125" s="749"/>
      <c r="C125" s="749"/>
      <c r="D125" s="714"/>
      <c r="E125" s="714"/>
      <c r="F125" s="714"/>
      <c r="G125" s="714"/>
      <c r="H125" s="714"/>
      <c r="I125" s="714"/>
      <c r="J125" s="714"/>
    </row>
    <row r="126" spans="2:10" s="581" customFormat="1">
      <c r="B126" s="749"/>
      <c r="C126" s="749"/>
      <c r="D126" s="714"/>
      <c r="E126" s="714"/>
      <c r="F126" s="714"/>
      <c r="G126" s="714"/>
      <c r="H126" s="714"/>
      <c r="I126" s="714"/>
      <c r="J126" s="714"/>
    </row>
    <row r="127" spans="2:10" s="581" customFormat="1">
      <c r="B127" s="749"/>
      <c r="C127" s="749"/>
      <c r="D127" s="714"/>
      <c r="E127" s="714"/>
      <c r="F127" s="714"/>
      <c r="G127" s="714"/>
      <c r="H127" s="714"/>
      <c r="I127" s="714"/>
      <c r="J127" s="714"/>
    </row>
    <row r="128" spans="2:10" s="581" customFormat="1">
      <c r="B128" s="749"/>
      <c r="C128" s="754"/>
      <c r="D128" s="714"/>
      <c r="E128" s="714"/>
      <c r="F128" s="714"/>
      <c r="G128" s="714"/>
      <c r="H128" s="714"/>
      <c r="I128" s="714"/>
      <c r="J128" s="714"/>
    </row>
    <row r="129" spans="2:10" s="581" customFormat="1">
      <c r="B129" s="749"/>
      <c r="C129" s="749"/>
      <c r="D129" s="714"/>
      <c r="E129" s="714"/>
      <c r="F129" s="714"/>
      <c r="G129" s="714"/>
      <c r="H129" s="714"/>
      <c r="I129" s="714"/>
      <c r="J129" s="714"/>
    </row>
    <row r="130" spans="2:10" s="581" customFormat="1">
      <c r="B130" s="749"/>
      <c r="C130" s="749"/>
      <c r="D130" s="714"/>
      <c r="E130" s="714"/>
      <c r="F130" s="714"/>
      <c r="G130" s="714"/>
      <c r="H130" s="714"/>
      <c r="I130" s="714"/>
      <c r="J130" s="714"/>
    </row>
    <row r="131" spans="2:10" s="581" customFormat="1">
      <c r="B131" s="749"/>
      <c r="C131" s="749"/>
      <c r="D131" s="714"/>
      <c r="E131" s="714"/>
      <c r="F131" s="714"/>
      <c r="G131" s="714"/>
      <c r="H131" s="714"/>
      <c r="I131" s="714"/>
      <c r="J131" s="714"/>
    </row>
    <row r="132" spans="2:10" s="581" customFormat="1">
      <c r="B132" s="749"/>
      <c r="C132" s="755"/>
      <c r="D132" s="714"/>
      <c r="E132" s="714"/>
      <c r="F132" s="714"/>
      <c r="G132" s="714"/>
      <c r="H132" s="714"/>
      <c r="I132" s="714"/>
      <c r="J132" s="714"/>
    </row>
    <row r="133" spans="2:10" s="581" customFormat="1">
      <c r="B133" s="749"/>
      <c r="C133" s="756"/>
      <c r="D133" s="714"/>
      <c r="E133" s="714"/>
      <c r="F133" s="714"/>
      <c r="G133" s="714"/>
      <c r="H133" s="714"/>
      <c r="I133" s="714"/>
      <c r="J133" s="714"/>
    </row>
    <row r="134" spans="2:10" s="581" customFormat="1">
      <c r="B134" s="749"/>
      <c r="C134" s="757"/>
      <c r="D134" s="714"/>
      <c r="E134" s="714"/>
      <c r="F134" s="714"/>
      <c r="G134" s="714"/>
      <c r="H134" s="714"/>
      <c r="I134" s="714"/>
      <c r="J134" s="714"/>
    </row>
    <row r="135" spans="2:10" s="581" customFormat="1">
      <c r="B135" s="749"/>
      <c r="C135" s="757"/>
      <c r="D135" s="714"/>
      <c r="E135" s="714"/>
      <c r="F135" s="714"/>
      <c r="G135" s="714"/>
      <c r="H135" s="714"/>
      <c r="I135" s="714"/>
      <c r="J135" s="714"/>
    </row>
    <row r="136" spans="2:10" s="581" customFormat="1">
      <c r="B136" s="749"/>
      <c r="C136" s="757"/>
      <c r="D136" s="714"/>
      <c r="E136" s="714"/>
      <c r="F136" s="714"/>
      <c r="G136" s="714"/>
      <c r="H136" s="714"/>
      <c r="I136" s="714"/>
      <c r="J136" s="714"/>
    </row>
    <row r="137" spans="2:10" s="581" customFormat="1">
      <c r="B137" s="749"/>
      <c r="C137" s="749"/>
      <c r="D137" s="714"/>
      <c r="E137" s="714"/>
      <c r="F137" s="714"/>
      <c r="G137" s="714"/>
      <c r="H137" s="714"/>
      <c r="I137" s="714"/>
      <c r="J137" s="714"/>
    </row>
    <row r="138" spans="2:10" s="581" customFormat="1">
      <c r="B138" s="749"/>
      <c r="C138" s="749"/>
      <c r="D138" s="714"/>
      <c r="E138" s="714"/>
      <c r="F138" s="714"/>
      <c r="G138" s="714"/>
      <c r="H138" s="714"/>
      <c r="I138" s="714"/>
      <c r="J138" s="714"/>
    </row>
    <row r="139" spans="2:10" s="581" customFormat="1">
      <c r="B139" s="749"/>
      <c r="C139" s="755"/>
      <c r="D139" s="714"/>
      <c r="E139" s="714"/>
      <c r="F139" s="714"/>
      <c r="G139" s="714"/>
      <c r="H139" s="714"/>
      <c r="I139" s="714"/>
      <c r="J139" s="714"/>
    </row>
    <row r="140" spans="2:10" s="581" customFormat="1">
      <c r="B140" s="749"/>
      <c r="C140" s="756"/>
      <c r="D140" s="714"/>
      <c r="E140" s="714"/>
      <c r="F140" s="714"/>
      <c r="G140" s="714"/>
      <c r="H140" s="714"/>
      <c r="I140" s="714"/>
      <c r="J140" s="714"/>
    </row>
    <row r="141" spans="2:10" s="581" customFormat="1">
      <c r="B141" s="749"/>
      <c r="C141" s="756"/>
      <c r="D141" s="714"/>
      <c r="E141" s="714"/>
      <c r="F141" s="714"/>
      <c r="G141" s="714"/>
      <c r="H141" s="714"/>
      <c r="I141" s="714"/>
      <c r="J141" s="714"/>
    </row>
    <row r="142" spans="2:10" s="581" customFormat="1">
      <c r="B142" s="749"/>
      <c r="C142" s="749"/>
      <c r="D142" s="714"/>
      <c r="E142" s="714"/>
      <c r="F142" s="714"/>
      <c r="G142" s="714"/>
      <c r="H142" s="714"/>
      <c r="I142" s="714"/>
      <c r="J142" s="714"/>
    </row>
    <row r="143" spans="2:10" s="581" customFormat="1">
      <c r="B143" s="749"/>
      <c r="C143" s="749"/>
      <c r="D143" s="714"/>
      <c r="E143" s="714"/>
      <c r="F143" s="714"/>
      <c r="G143" s="714"/>
      <c r="H143" s="714"/>
      <c r="I143" s="714"/>
      <c r="J143" s="714"/>
    </row>
    <row r="144" spans="2:10" s="581" customFormat="1">
      <c r="B144" s="749"/>
      <c r="C144" s="749"/>
      <c r="D144" s="714"/>
      <c r="E144" s="714"/>
      <c r="F144" s="714"/>
      <c r="G144" s="714"/>
      <c r="H144" s="714"/>
      <c r="I144" s="714"/>
      <c r="J144" s="714"/>
    </row>
    <row r="145" spans="2:16" s="581" customFormat="1">
      <c r="B145" s="752"/>
      <c r="C145" s="753"/>
      <c r="D145" s="724"/>
      <c r="E145" s="724"/>
      <c r="F145" s="724"/>
      <c r="G145" s="724"/>
      <c r="H145" s="724"/>
      <c r="I145" s="724"/>
      <c r="J145" s="724"/>
    </row>
    <row r="146" spans="2:16" s="581" customFormat="1">
      <c r="B146" s="752"/>
      <c r="C146" s="753"/>
      <c r="D146" s="724"/>
      <c r="E146" s="724"/>
      <c r="F146" s="724"/>
      <c r="G146" s="724"/>
      <c r="H146" s="724"/>
      <c r="I146" s="724"/>
      <c r="J146" s="724"/>
    </row>
    <row r="147" spans="2:16" s="581" customFormat="1">
      <c r="B147" s="752"/>
      <c r="C147" s="753"/>
      <c r="D147" s="724"/>
      <c r="E147" s="724"/>
      <c r="F147" s="724"/>
      <c r="G147" s="724"/>
      <c r="H147" s="724"/>
      <c r="I147" s="724"/>
      <c r="J147" s="724"/>
    </row>
    <row r="148" spans="2:16" s="581" customFormat="1">
      <c r="B148" s="752"/>
      <c r="C148" s="753"/>
      <c r="D148" s="724"/>
      <c r="E148" s="724"/>
      <c r="F148" s="724"/>
      <c r="G148" s="724"/>
      <c r="H148" s="724"/>
      <c r="I148" s="724"/>
      <c r="J148" s="724"/>
    </row>
    <row r="149" spans="2:16" s="581" customFormat="1">
      <c r="B149" s="749"/>
      <c r="C149" s="749"/>
      <c r="D149" s="714"/>
      <c r="E149" s="714"/>
      <c r="F149" s="714"/>
      <c r="G149" s="714"/>
      <c r="H149" s="714"/>
      <c r="I149" s="714"/>
      <c r="J149" s="714"/>
    </row>
    <row r="150" spans="2:16" s="581" customFormat="1">
      <c r="B150" s="749"/>
      <c r="C150" s="749"/>
      <c r="D150" s="714"/>
      <c r="E150" s="714"/>
      <c r="F150" s="714"/>
      <c r="G150" s="714"/>
      <c r="H150" s="714"/>
      <c r="I150" s="714"/>
      <c r="J150" s="714"/>
    </row>
    <row r="151" spans="2:16" s="581" customFormat="1">
      <c r="B151" s="749"/>
      <c r="C151" s="758"/>
      <c r="D151" s="714"/>
      <c r="E151" s="714"/>
      <c r="F151" s="714"/>
      <c r="G151" s="714"/>
      <c r="H151" s="714"/>
      <c r="I151" s="714"/>
      <c r="J151" s="714"/>
    </row>
    <row r="152" spans="2:16" s="581" customFormat="1">
      <c r="B152" s="749"/>
      <c r="C152" s="757"/>
      <c r="D152" s="714"/>
      <c r="E152" s="714"/>
      <c r="F152" s="714"/>
      <c r="G152" s="714"/>
      <c r="H152" s="714"/>
      <c r="I152" s="714"/>
      <c r="J152" s="714"/>
    </row>
    <row r="153" spans="2:16" s="581" customFormat="1">
      <c r="B153" s="749"/>
      <c r="C153" s="749"/>
      <c r="D153" s="714"/>
      <c r="E153" s="714"/>
      <c r="F153" s="714"/>
      <c r="G153" s="714"/>
      <c r="H153" s="714"/>
      <c r="I153" s="714"/>
      <c r="J153" s="714"/>
    </row>
    <row r="154" spans="2:16" s="581" customFormat="1">
      <c r="B154" s="749"/>
      <c r="C154" s="749"/>
      <c r="D154" s="714"/>
      <c r="E154" s="714"/>
      <c r="F154" s="714"/>
      <c r="G154" s="714"/>
      <c r="H154" s="714"/>
      <c r="I154" s="714"/>
      <c r="J154" s="714"/>
    </row>
    <row r="155" spans="2:16" s="581" customFormat="1">
      <c r="B155" s="749"/>
      <c r="C155" s="749"/>
      <c r="D155" s="714"/>
      <c r="E155" s="714"/>
      <c r="F155" s="714"/>
      <c r="G155" s="714"/>
      <c r="H155" s="714"/>
      <c r="I155" s="714"/>
      <c r="J155" s="714"/>
    </row>
    <row r="156" spans="2:16" s="581" customFormat="1">
      <c r="B156" s="752"/>
      <c r="C156" s="753"/>
      <c r="D156" s="724"/>
      <c r="E156" s="724"/>
      <c r="F156" s="724"/>
      <c r="G156" s="724"/>
      <c r="H156" s="724"/>
      <c r="I156" s="724"/>
      <c r="J156" s="724"/>
    </row>
    <row r="157" spans="2:16" s="581" customFormat="1">
      <c r="B157" s="749"/>
      <c r="C157" s="749"/>
      <c r="D157" s="749"/>
      <c r="E157" s="749"/>
      <c r="F157" s="749"/>
      <c r="G157" s="749"/>
      <c r="H157" s="749"/>
      <c r="I157" s="749"/>
      <c r="J157" s="749"/>
      <c r="K157" s="749"/>
      <c r="L157" s="749"/>
      <c r="M157" s="749"/>
      <c r="N157" s="749"/>
      <c r="O157" s="749"/>
      <c r="P157" s="749"/>
    </row>
    <row r="158" spans="2:16" s="581" customFormat="1">
      <c r="B158" s="749"/>
      <c r="C158" s="759"/>
      <c r="D158" s="749"/>
      <c r="E158" s="749"/>
      <c r="F158" s="749"/>
      <c r="G158" s="749"/>
      <c r="H158" s="749"/>
      <c r="I158" s="749"/>
      <c r="J158" s="749"/>
      <c r="K158" s="749"/>
      <c r="L158" s="749"/>
      <c r="M158" s="749"/>
      <c r="N158" s="749"/>
      <c r="O158" s="749"/>
      <c r="P158" s="749"/>
    </row>
    <row r="159" spans="2:16" s="581" customFormat="1">
      <c r="B159" s="749"/>
      <c r="C159" s="749"/>
      <c r="D159" s="749"/>
      <c r="E159" s="749"/>
      <c r="F159" s="749"/>
      <c r="G159" s="749"/>
      <c r="H159" s="749"/>
      <c r="I159" s="749"/>
      <c r="J159" s="749"/>
      <c r="K159" s="749"/>
      <c r="L159" s="749"/>
      <c r="M159" s="749"/>
      <c r="N159" s="749"/>
      <c r="O159" s="749"/>
      <c r="P159" s="749"/>
    </row>
    <row r="160" spans="2:16" s="581" customFormat="1">
      <c r="B160" s="749"/>
      <c r="C160" s="749"/>
      <c r="D160" s="749"/>
      <c r="E160" s="749"/>
      <c r="F160" s="749"/>
      <c r="G160" s="749"/>
      <c r="H160" s="749"/>
      <c r="I160" s="749"/>
      <c r="J160" s="749"/>
      <c r="K160" s="749"/>
      <c r="L160" s="749"/>
      <c r="M160" s="749"/>
      <c r="N160" s="749"/>
      <c r="O160" s="749"/>
      <c r="P160" s="749"/>
    </row>
    <row r="161" spans="2:16" s="581" customFormat="1">
      <c r="B161" s="749"/>
      <c r="C161" s="749"/>
      <c r="D161" s="749"/>
      <c r="E161" s="749"/>
      <c r="F161" s="749"/>
      <c r="G161" s="749"/>
      <c r="H161" s="749"/>
      <c r="I161" s="749"/>
      <c r="J161" s="749"/>
      <c r="K161" s="749"/>
      <c r="L161" s="749"/>
      <c r="M161" s="749"/>
      <c r="N161" s="749"/>
      <c r="O161" s="749"/>
      <c r="P161" s="749"/>
    </row>
    <row r="162" spans="2:16" s="581" customFormat="1">
      <c r="B162" s="749"/>
      <c r="C162" s="749"/>
      <c r="D162" s="749"/>
      <c r="E162" s="749"/>
      <c r="F162" s="749"/>
      <c r="G162" s="749"/>
      <c r="H162" s="749"/>
      <c r="I162" s="749"/>
      <c r="J162" s="749"/>
      <c r="K162" s="749"/>
      <c r="L162" s="749"/>
      <c r="M162" s="749"/>
      <c r="N162" s="749"/>
      <c r="O162" s="749"/>
      <c r="P162" s="749"/>
    </row>
    <row r="163" spans="2:16" s="581" customFormat="1">
      <c r="B163" s="749"/>
      <c r="C163" s="749"/>
      <c r="D163" s="749"/>
      <c r="E163" s="749"/>
      <c r="F163" s="749"/>
      <c r="G163" s="749"/>
      <c r="H163" s="749"/>
      <c r="I163" s="749"/>
      <c r="J163" s="749"/>
      <c r="K163" s="749"/>
      <c r="L163" s="749"/>
      <c r="M163" s="749"/>
      <c r="N163" s="749"/>
      <c r="O163" s="749"/>
      <c r="P163" s="749"/>
    </row>
    <row r="164" spans="2:16" s="581" customFormat="1">
      <c r="B164" s="749"/>
      <c r="C164" s="749"/>
      <c r="D164" s="749"/>
      <c r="E164" s="749"/>
      <c r="F164" s="749"/>
      <c r="G164" s="749"/>
      <c r="H164" s="749"/>
      <c r="I164" s="749"/>
      <c r="J164" s="749"/>
      <c r="K164" s="749"/>
      <c r="L164" s="749"/>
      <c r="M164" s="749"/>
      <c r="N164" s="749"/>
      <c r="O164" s="749"/>
      <c r="P164" s="749"/>
    </row>
    <row r="165" spans="2:16" s="581" customFormat="1">
      <c r="B165" s="760"/>
      <c r="C165" s="760"/>
      <c r="D165" s="760"/>
      <c r="E165" s="760"/>
      <c r="F165" s="760"/>
      <c r="G165" s="760"/>
      <c r="H165" s="760"/>
      <c r="I165" s="760"/>
      <c r="J165" s="749"/>
      <c r="K165" s="749"/>
      <c r="L165" s="749"/>
      <c r="M165" s="749"/>
      <c r="N165" s="749"/>
      <c r="O165" s="749"/>
      <c r="P165" s="749"/>
    </row>
    <row r="166" spans="2:16" s="581" customFormat="1">
      <c r="B166" s="761"/>
      <c r="C166" s="759"/>
      <c r="D166" s="759"/>
      <c r="E166" s="759"/>
      <c r="F166" s="759"/>
      <c r="G166" s="759"/>
      <c r="H166" s="759"/>
      <c r="I166" s="759"/>
      <c r="J166" s="749"/>
      <c r="K166" s="749"/>
      <c r="L166" s="749"/>
      <c r="M166" s="749"/>
      <c r="N166" s="749"/>
      <c r="O166" s="749"/>
      <c r="P166" s="749"/>
    </row>
    <row r="167" spans="2:16" s="581" customFormat="1">
      <c r="B167" s="762"/>
      <c r="C167" s="760"/>
      <c r="D167" s="749"/>
      <c r="E167" s="749"/>
      <c r="F167" s="749"/>
      <c r="G167" s="749"/>
      <c r="H167" s="749"/>
      <c r="I167" s="749"/>
      <c r="J167" s="749"/>
      <c r="K167" s="749"/>
      <c r="L167" s="749"/>
      <c r="M167" s="749"/>
      <c r="N167" s="749"/>
      <c r="O167" s="749"/>
      <c r="P167" s="749"/>
    </row>
    <row r="168" spans="2:16" s="581" customFormat="1">
      <c r="B168" s="760"/>
      <c r="C168" s="760"/>
      <c r="D168" s="760"/>
      <c r="E168" s="760"/>
      <c r="F168" s="760"/>
      <c r="G168" s="760"/>
      <c r="H168" s="760"/>
      <c r="I168" s="760"/>
      <c r="J168" s="749"/>
      <c r="K168" s="749"/>
      <c r="L168" s="749"/>
      <c r="M168" s="749"/>
      <c r="N168" s="749"/>
      <c r="O168" s="749"/>
      <c r="P168" s="749"/>
    </row>
    <row r="169" spans="2:16" s="581" customFormat="1">
      <c r="B169" s="760"/>
      <c r="C169" s="760"/>
      <c r="D169" s="749"/>
      <c r="E169" s="749"/>
      <c r="F169" s="749"/>
      <c r="G169" s="749"/>
      <c r="H169" s="749"/>
      <c r="I169" s="749"/>
      <c r="J169" s="749"/>
      <c r="K169" s="749"/>
      <c r="L169" s="749"/>
      <c r="M169" s="749"/>
      <c r="N169" s="749"/>
      <c r="O169" s="749"/>
      <c r="P169" s="749"/>
    </row>
    <row r="170" spans="2:16" s="581" customFormat="1">
      <c r="B170" s="759"/>
      <c r="C170" s="759"/>
      <c r="D170" s="759"/>
      <c r="E170" s="759"/>
      <c r="F170" s="759"/>
      <c r="G170" s="759"/>
      <c r="H170" s="759"/>
      <c r="I170" s="759"/>
      <c r="J170" s="749"/>
      <c r="K170" s="749"/>
      <c r="L170" s="749"/>
      <c r="M170" s="749"/>
      <c r="N170" s="749"/>
      <c r="O170" s="749"/>
      <c r="P170" s="749"/>
    </row>
    <row r="171" spans="2:16" s="581" customFormat="1">
      <c r="B171" s="762"/>
      <c r="C171" s="763"/>
      <c r="D171" s="749"/>
      <c r="E171" s="749"/>
      <c r="F171" s="749"/>
      <c r="G171" s="749"/>
      <c r="H171" s="749"/>
      <c r="I171" s="749"/>
      <c r="J171" s="749"/>
      <c r="K171" s="749"/>
      <c r="L171" s="749"/>
      <c r="M171" s="749"/>
      <c r="N171" s="749"/>
      <c r="O171" s="749"/>
      <c r="P171" s="749"/>
    </row>
    <row r="172" spans="2:16" s="581" customFormat="1">
      <c r="B172" s="764"/>
      <c r="C172" s="764"/>
      <c r="D172" s="764"/>
      <c r="E172" s="764"/>
      <c r="F172" s="764"/>
      <c r="G172" s="764"/>
      <c r="H172" s="764"/>
      <c r="I172" s="764"/>
      <c r="J172" s="764"/>
      <c r="K172" s="749"/>
      <c r="L172" s="749"/>
      <c r="M172" s="749"/>
      <c r="N172" s="749"/>
      <c r="O172" s="749"/>
      <c r="P172" s="749"/>
    </row>
    <row r="173" spans="2:16" s="581" customFormat="1">
      <c r="B173" s="761"/>
      <c r="C173" s="765"/>
      <c r="D173" s="749"/>
      <c r="E173" s="749"/>
      <c r="F173" s="749"/>
      <c r="G173" s="749"/>
      <c r="H173" s="749"/>
      <c r="I173" s="749"/>
      <c r="J173" s="749"/>
      <c r="K173" s="749"/>
      <c r="L173" s="749"/>
      <c r="M173" s="749"/>
      <c r="N173" s="749"/>
      <c r="O173" s="749"/>
      <c r="P173" s="749"/>
    </row>
    <row r="174" spans="2:16" s="581" customFormat="1">
      <c r="B174" s="760"/>
      <c r="C174" s="760"/>
      <c r="D174" s="760"/>
      <c r="E174" s="760"/>
      <c r="F174" s="760"/>
      <c r="G174" s="760"/>
      <c r="H174" s="760"/>
      <c r="I174" s="760"/>
      <c r="J174" s="749"/>
      <c r="K174" s="749"/>
      <c r="L174" s="749"/>
      <c r="M174" s="749"/>
      <c r="N174" s="749"/>
      <c r="O174" s="749"/>
      <c r="P174" s="749"/>
    </row>
    <row r="175" spans="2:16" s="581" customFormat="1">
      <c r="B175" s="760"/>
      <c r="C175" s="760"/>
      <c r="D175" s="760"/>
      <c r="E175" s="760"/>
      <c r="F175" s="760"/>
      <c r="G175" s="760"/>
      <c r="H175" s="760"/>
      <c r="I175" s="760"/>
      <c r="J175" s="749"/>
      <c r="K175" s="749"/>
      <c r="L175" s="749"/>
      <c r="M175" s="749"/>
      <c r="N175" s="749"/>
      <c r="O175" s="749"/>
      <c r="P175" s="749"/>
    </row>
    <row r="176" spans="2:16" s="581" customFormat="1">
      <c r="B176" s="760"/>
      <c r="C176" s="760"/>
      <c r="D176" s="760"/>
      <c r="E176" s="760"/>
      <c r="F176" s="760"/>
      <c r="G176" s="760"/>
      <c r="H176" s="760"/>
      <c r="I176" s="760"/>
      <c r="J176" s="749"/>
      <c r="K176" s="749"/>
      <c r="L176" s="749"/>
      <c r="M176" s="749"/>
      <c r="N176" s="749"/>
      <c r="O176" s="749"/>
      <c r="P176" s="749"/>
    </row>
    <row r="177" spans="2:16" s="581" customFormat="1">
      <c r="B177" s="760"/>
      <c r="C177" s="760"/>
      <c r="D177" s="749"/>
      <c r="E177" s="749"/>
      <c r="F177" s="749"/>
      <c r="G177" s="749"/>
      <c r="H177" s="749"/>
      <c r="I177" s="749"/>
      <c r="J177" s="749"/>
      <c r="K177" s="749"/>
      <c r="L177" s="749"/>
      <c r="M177" s="749"/>
      <c r="N177" s="749"/>
      <c r="O177" s="749"/>
      <c r="P177" s="749"/>
    </row>
    <row r="178" spans="2:16" s="581" customFormat="1">
      <c r="B178" s="764"/>
      <c r="C178" s="764"/>
      <c r="D178" s="764"/>
      <c r="E178" s="764"/>
      <c r="F178" s="764"/>
      <c r="G178" s="764"/>
      <c r="H178" s="764"/>
      <c r="I178" s="764"/>
      <c r="J178" s="749"/>
      <c r="K178" s="749"/>
      <c r="L178" s="749"/>
      <c r="M178" s="749"/>
      <c r="N178" s="749"/>
      <c r="O178" s="749"/>
      <c r="P178" s="749"/>
    </row>
    <row r="179" spans="2:16" s="581" customFormat="1">
      <c r="B179" s="762"/>
      <c r="C179" s="766"/>
      <c r="D179" s="749"/>
      <c r="E179" s="749"/>
      <c r="F179" s="749"/>
      <c r="G179" s="749"/>
      <c r="H179" s="749"/>
      <c r="I179" s="749"/>
      <c r="J179" s="749"/>
      <c r="K179" s="749"/>
      <c r="L179" s="749"/>
      <c r="M179" s="749"/>
      <c r="N179" s="749"/>
      <c r="O179" s="749"/>
      <c r="P179" s="749"/>
    </row>
    <row r="180" spans="2:16" s="581" customFormat="1">
      <c r="B180" s="749"/>
      <c r="C180" s="749"/>
      <c r="D180" s="749"/>
      <c r="E180" s="749"/>
      <c r="F180" s="749"/>
      <c r="G180" s="749"/>
      <c r="H180" s="749"/>
      <c r="I180" s="749"/>
      <c r="J180" s="749"/>
      <c r="K180" s="749"/>
      <c r="L180" s="749"/>
      <c r="M180" s="749"/>
      <c r="N180" s="749"/>
      <c r="O180" s="749"/>
      <c r="P180" s="749"/>
    </row>
    <row r="181" spans="2:16" s="581" customFormat="1">
      <c r="B181" s="749"/>
      <c r="C181" s="749"/>
      <c r="D181" s="749"/>
      <c r="E181" s="749"/>
      <c r="F181" s="749"/>
      <c r="G181" s="749"/>
      <c r="H181" s="749"/>
      <c r="I181" s="749"/>
      <c r="J181" s="749"/>
      <c r="K181" s="749"/>
      <c r="L181" s="749"/>
      <c r="M181" s="749"/>
      <c r="N181" s="749"/>
      <c r="O181" s="749"/>
      <c r="P181" s="749"/>
    </row>
    <row r="182" spans="2:16" s="581" customFormat="1">
      <c r="B182" s="749"/>
      <c r="C182" s="749"/>
      <c r="D182" s="749"/>
      <c r="E182" s="749"/>
      <c r="F182" s="749"/>
      <c r="G182" s="749"/>
      <c r="H182" s="749"/>
      <c r="I182" s="749"/>
      <c r="J182" s="749"/>
      <c r="K182" s="749"/>
      <c r="L182" s="749"/>
      <c r="M182" s="749"/>
      <c r="N182" s="749"/>
      <c r="O182" s="749"/>
      <c r="P182" s="749"/>
    </row>
    <row r="183" spans="2:16" s="581" customFormat="1">
      <c r="B183" s="761"/>
      <c r="C183" s="759"/>
      <c r="D183" s="759"/>
      <c r="E183" s="759"/>
      <c r="F183" s="759"/>
      <c r="G183" s="759"/>
      <c r="H183" s="759"/>
      <c r="I183" s="759"/>
      <c r="J183" s="749"/>
      <c r="K183" s="749"/>
      <c r="L183" s="749"/>
      <c r="M183" s="749"/>
      <c r="N183" s="749"/>
      <c r="O183" s="749"/>
      <c r="P183" s="749"/>
    </row>
    <row r="184" spans="2:16" s="581" customFormat="1">
      <c r="B184" s="749"/>
      <c r="C184" s="749"/>
      <c r="D184" s="749"/>
      <c r="E184" s="749"/>
      <c r="F184" s="749"/>
      <c r="G184" s="749"/>
      <c r="H184" s="749"/>
      <c r="I184" s="749"/>
      <c r="J184" s="749"/>
      <c r="K184" s="749"/>
      <c r="L184" s="749"/>
      <c r="M184" s="749"/>
      <c r="N184" s="749"/>
      <c r="O184" s="749"/>
      <c r="P184" s="749"/>
    </row>
    <row r="185" spans="2:16" s="581" customFormat="1">
      <c r="B185" s="749"/>
      <c r="C185" s="749"/>
      <c r="D185" s="749"/>
      <c r="E185" s="749"/>
      <c r="F185" s="749"/>
      <c r="G185" s="749"/>
      <c r="H185" s="749"/>
      <c r="I185" s="749"/>
      <c r="J185" s="749"/>
      <c r="K185" s="749"/>
      <c r="L185" s="749"/>
      <c r="M185" s="749"/>
      <c r="N185" s="749"/>
      <c r="O185" s="749"/>
      <c r="P185" s="749"/>
    </row>
    <row r="186" spans="2:16" s="581" customFormat="1">
      <c r="B186" s="749"/>
      <c r="C186" s="749"/>
      <c r="D186" s="749"/>
      <c r="E186" s="749"/>
      <c r="F186" s="749"/>
      <c r="G186" s="749"/>
      <c r="H186" s="749"/>
      <c r="I186" s="749"/>
      <c r="J186" s="749"/>
      <c r="K186" s="749"/>
      <c r="L186" s="749"/>
      <c r="M186" s="749"/>
      <c r="N186" s="749"/>
      <c r="O186" s="749"/>
      <c r="P186" s="749"/>
    </row>
    <row r="187" spans="2:16" s="581" customFormat="1">
      <c r="B187" s="749"/>
      <c r="C187" s="749"/>
      <c r="D187" s="749"/>
      <c r="E187" s="749"/>
      <c r="F187" s="749"/>
      <c r="G187" s="749"/>
      <c r="H187" s="749"/>
      <c r="I187" s="749"/>
      <c r="J187" s="749"/>
      <c r="K187" s="749"/>
      <c r="L187" s="749"/>
      <c r="M187" s="749"/>
      <c r="N187" s="749"/>
      <c r="O187" s="749"/>
      <c r="P187" s="749"/>
    </row>
    <row r="188" spans="2:16" s="581" customFormat="1">
      <c r="B188" s="749"/>
      <c r="C188" s="749"/>
      <c r="D188" s="749"/>
      <c r="E188" s="749"/>
      <c r="F188" s="749"/>
      <c r="G188" s="749"/>
      <c r="H188" s="749"/>
      <c r="I188" s="749"/>
      <c r="J188" s="749"/>
      <c r="K188" s="749"/>
      <c r="L188" s="749"/>
      <c r="M188" s="749"/>
      <c r="N188" s="749"/>
      <c r="O188" s="749"/>
      <c r="P188" s="749"/>
    </row>
    <row r="189" spans="2:16" s="581" customFormat="1">
      <c r="B189" s="767"/>
      <c r="C189" s="749"/>
      <c r="D189" s="749"/>
      <c r="E189" s="749"/>
      <c r="F189" s="749"/>
      <c r="G189" s="749"/>
      <c r="H189" s="749"/>
      <c r="I189" s="749"/>
      <c r="J189" s="749"/>
      <c r="K189" s="749"/>
      <c r="L189" s="749"/>
      <c r="M189" s="749"/>
      <c r="N189" s="749"/>
      <c r="O189" s="749"/>
      <c r="P189" s="749"/>
    </row>
    <row r="190" spans="2:16" s="581" customFormat="1">
      <c r="B190" s="767"/>
      <c r="C190" s="749"/>
      <c r="D190" s="749"/>
      <c r="E190" s="749"/>
      <c r="F190" s="749"/>
      <c r="G190" s="749"/>
      <c r="H190" s="749"/>
      <c r="I190" s="749"/>
      <c r="J190" s="749"/>
      <c r="K190" s="749"/>
      <c r="L190" s="749"/>
      <c r="M190" s="749"/>
      <c r="N190" s="749"/>
      <c r="O190" s="749"/>
      <c r="P190" s="749"/>
    </row>
    <row r="191" spans="2:16">
      <c r="B191" s="721"/>
      <c r="C191" s="720"/>
      <c r="D191" s="720"/>
      <c r="E191" s="720"/>
      <c r="F191" s="720"/>
      <c r="G191" s="720"/>
      <c r="H191" s="720"/>
      <c r="I191" s="720"/>
      <c r="J191" s="720"/>
      <c r="K191" s="720"/>
      <c r="L191" s="720"/>
      <c r="M191" s="720"/>
      <c r="N191" s="720"/>
      <c r="O191" s="720"/>
      <c r="P191" s="720"/>
    </row>
  </sheetData>
  <mergeCells count="12">
    <mergeCell ref="B2:K4"/>
    <mergeCell ref="B1:K1"/>
    <mergeCell ref="B5:E5"/>
    <mergeCell ref="D104:F104"/>
    <mergeCell ref="G104:J104"/>
    <mergeCell ref="B100:P100"/>
    <mergeCell ref="B101:P101"/>
    <mergeCell ref="B102:H102"/>
    <mergeCell ref="D103:J103"/>
    <mergeCell ref="D6:H6"/>
    <mergeCell ref="J6:J7"/>
    <mergeCell ref="K6:K7"/>
  </mergeCells>
  <phoneticPr fontId="53" type="noConversion"/>
  <hyperlinks>
    <hyperlink ref="B81" r:id="rId1" display="student loans. For more information, see &quot;How does the 2020 CARES Act affect BEA's estimate of personal interest payments?&quot;." xr:uid="{6F4BC101-1156-484C-9C36-55AD811A08A0}"/>
    <hyperlink ref="B75" r:id="rId2" display="     &quot;How are the economic impact payments for individuals authorized by the CARES Act of 2020 recorded in the NIPAs?&quot;." xr:uid="{90914462-9959-344D-8A51-C44C34E3F0C8}"/>
    <hyperlink ref="B73" r:id="rId3" display="exhausted all available regular and extended unemployment benefits.  For more information, see &quot;How will the expansion of unemployment benefits in response to " xr:uid="{39B1406B-890D-424B-9F37-A8A1BE3C74AA}"/>
    <hyperlink ref="B69" r:id="rId4" display="     and product accounts (NIPAs)?&quot;." xr:uid="{590E130B-7984-274F-8FD5-45724ADDEE84}"/>
    <hyperlink ref="B68" r:id="rId5" display="      funding to reimburse private lending institutions for the costs of administering these loans. For more information, see &quot;How does the Paycheck Protection Program of 2020 impact the national income" xr:uid="{752DFADD-E320-304C-8F6E-099236D49234}"/>
    <hyperlink ref="B85" r:id="rId6" display="product report, for example. To be consistent, the figures in this table also are annualized. For more information, see the FAQ &quot;Why does BEA publish estimates at annual" xr:uid="{02EBBA82-E9AF-9D44-98C9-7B208176C3EB}"/>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10AE9-C7A4-4A96-9E74-8BD4471FD9D0}">
  <dimension ref="A1:G2"/>
  <sheetViews>
    <sheetView workbookViewId="0">
      <selection activeCell="E11" sqref="E11"/>
    </sheetView>
  </sheetViews>
  <sheetFormatPr baseColWidth="10" defaultColWidth="8.83203125" defaultRowHeight="15"/>
  <cols>
    <col min="1" max="1" width="18.33203125" customWidth="1"/>
    <col min="2" max="2" width="27.1640625" customWidth="1"/>
  </cols>
  <sheetData>
    <row r="1" spans="1:7" s="591" customFormat="1">
      <c r="A1" s="550" t="s">
        <v>629</v>
      </c>
      <c r="B1" s="550" t="s">
        <v>628</v>
      </c>
      <c r="C1" s="574" t="s">
        <v>148</v>
      </c>
      <c r="D1" s="574" t="s">
        <v>149</v>
      </c>
      <c r="E1" s="574" t="s">
        <v>150</v>
      </c>
      <c r="F1" s="574" t="s">
        <v>151</v>
      </c>
      <c r="G1" s="591" t="s">
        <v>152</v>
      </c>
    </row>
    <row r="2" spans="1:7" ht="32">
      <c r="A2" s="561" t="s">
        <v>681</v>
      </c>
      <c r="B2" s="560" t="s">
        <v>682</v>
      </c>
      <c r="C2" s="560">
        <f>Grants!J74</f>
        <v>334.61</v>
      </c>
      <c r="D2" s="560">
        <f>Grants!K74</f>
        <v>301.78300000000002</v>
      </c>
      <c r="E2" s="560">
        <f>Grants!L74</f>
        <v>280.16300000000001</v>
      </c>
      <c r="F2" s="560">
        <f>Grants!M74</f>
        <v>310.15499999999997</v>
      </c>
      <c r="G2" s="560">
        <f>Grants!N74</f>
        <v>346.31500000000005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3382-5AC0-264F-9C62-363E9A25EE4E}">
  <dimension ref="A1:O14"/>
  <sheetViews>
    <sheetView workbookViewId="0">
      <selection activeCell="N14" sqref="N14"/>
    </sheetView>
  </sheetViews>
  <sheetFormatPr baseColWidth="10" defaultColWidth="10.83203125" defaultRowHeight="15"/>
  <cols>
    <col min="1" max="1" width="70.83203125" bestFit="1" customWidth="1"/>
    <col min="2" max="2" width="70.83203125" style="560" customWidth="1"/>
  </cols>
  <sheetData>
    <row r="1" spans="1:15" ht="16">
      <c r="A1" s="1352" t="s">
        <v>536</v>
      </c>
      <c r="B1" s="1352"/>
      <c r="C1" s="1352"/>
      <c r="D1" s="1352"/>
      <c r="E1" s="1352"/>
      <c r="F1" s="1352"/>
      <c r="G1" s="1352"/>
      <c r="H1" s="1352"/>
      <c r="I1" s="1352"/>
      <c r="J1" s="1352"/>
      <c r="K1" s="1352"/>
      <c r="L1" s="1352"/>
      <c r="M1" s="1352"/>
      <c r="N1" s="1352"/>
      <c r="O1" s="1352"/>
    </row>
    <row r="2" spans="1:15" ht="34">
      <c r="A2" s="309"/>
      <c r="B2" s="309" t="s">
        <v>628</v>
      </c>
      <c r="C2" s="332">
        <v>1</v>
      </c>
      <c r="D2" s="332">
        <f>C2+1</f>
        <v>2</v>
      </c>
      <c r="E2" s="332">
        <f t="shared" ref="E2:N2" si="0">D2+1</f>
        <v>3</v>
      </c>
      <c r="F2" s="332">
        <f t="shared" si="0"/>
        <v>4</v>
      </c>
      <c r="G2" s="332">
        <f t="shared" si="0"/>
        <v>5</v>
      </c>
      <c r="H2" s="332">
        <f t="shared" si="0"/>
        <v>6</v>
      </c>
      <c r="I2" s="332">
        <f t="shared" si="0"/>
        <v>7</v>
      </c>
      <c r="J2" s="332">
        <f t="shared" si="0"/>
        <v>8</v>
      </c>
      <c r="K2" s="332">
        <f t="shared" si="0"/>
        <v>9</v>
      </c>
      <c r="L2" s="332">
        <f t="shared" si="0"/>
        <v>10</v>
      </c>
      <c r="M2" s="332">
        <f t="shared" si="0"/>
        <v>11</v>
      </c>
      <c r="N2" s="332">
        <f t="shared" si="0"/>
        <v>12</v>
      </c>
      <c r="O2" s="328" t="s">
        <v>534</v>
      </c>
    </row>
    <row r="3" spans="1:15" ht="16">
      <c r="A3" s="311" t="s">
        <v>533</v>
      </c>
      <c r="B3" s="1167" t="s">
        <v>1199</v>
      </c>
      <c r="C3" s="331">
        <f>0.9*0.25</f>
        <v>0.22500000000000001</v>
      </c>
      <c r="D3" s="331">
        <f>0.9*0.25</f>
        <v>0.22500000000000001</v>
      </c>
      <c r="E3" s="331">
        <f>0.9*0.25</f>
        <v>0.22500000000000001</v>
      </c>
      <c r="F3" s="331">
        <f>0.9*0.25</f>
        <v>0.22500000000000001</v>
      </c>
      <c r="G3" s="330">
        <v>0</v>
      </c>
      <c r="H3" s="330">
        <v>0</v>
      </c>
      <c r="I3" s="330">
        <v>0</v>
      </c>
      <c r="J3" s="330">
        <v>0</v>
      </c>
      <c r="K3" s="330">
        <v>0</v>
      </c>
      <c r="L3" s="330">
        <v>0</v>
      </c>
      <c r="M3" s="330">
        <v>0</v>
      </c>
      <c r="N3" s="330">
        <v>0</v>
      </c>
      <c r="O3" s="310"/>
    </row>
    <row r="4" spans="1:15" ht="16">
      <c r="A4" s="313" t="s">
        <v>511</v>
      </c>
      <c r="B4" s="1168" t="s">
        <v>1200</v>
      </c>
      <c r="C4" s="331">
        <f t="shared" ref="C4:N4" si="1">-0.4*(1/12)</f>
        <v>-3.3333333333333333E-2</v>
      </c>
      <c r="D4" s="331">
        <f t="shared" si="1"/>
        <v>-3.3333333333333333E-2</v>
      </c>
      <c r="E4" s="331">
        <f t="shared" si="1"/>
        <v>-3.3333333333333333E-2</v>
      </c>
      <c r="F4" s="331">
        <f t="shared" si="1"/>
        <v>-3.3333333333333333E-2</v>
      </c>
      <c r="G4" s="331">
        <f t="shared" si="1"/>
        <v>-3.3333333333333333E-2</v>
      </c>
      <c r="H4" s="331">
        <f t="shared" si="1"/>
        <v>-3.3333333333333333E-2</v>
      </c>
      <c r="I4" s="331">
        <f t="shared" si="1"/>
        <v>-3.3333333333333333E-2</v>
      </c>
      <c r="J4" s="331">
        <f t="shared" si="1"/>
        <v>-3.3333333333333333E-2</v>
      </c>
      <c r="K4" s="331">
        <f t="shared" si="1"/>
        <v>-3.3333333333333333E-2</v>
      </c>
      <c r="L4" s="331">
        <f t="shared" si="1"/>
        <v>-3.3333333333333333E-2</v>
      </c>
      <c r="M4" s="331">
        <f t="shared" si="1"/>
        <v>-3.3333333333333333E-2</v>
      </c>
      <c r="N4" s="331">
        <f t="shared" si="1"/>
        <v>-3.3333333333333333E-2</v>
      </c>
      <c r="O4" s="329">
        <f>SUM(C4:N4)</f>
        <v>-0.39999999999999997</v>
      </c>
    </row>
    <row r="5" spans="1:15" ht="16">
      <c r="A5" s="313" t="s">
        <v>512</v>
      </c>
      <c r="B5" s="1168" t="s">
        <v>1201</v>
      </c>
      <c r="C5" s="331">
        <f>-0.6*0.2</f>
        <v>-0.12</v>
      </c>
      <c r="D5" s="331">
        <f>-0.6*0.2</f>
        <v>-0.12</v>
      </c>
      <c r="E5" s="331">
        <f t="shared" ref="E5:J5" si="2">-0.6*0.1</f>
        <v>-0.06</v>
      </c>
      <c r="F5" s="331">
        <f t="shared" si="2"/>
        <v>-0.06</v>
      </c>
      <c r="G5" s="331">
        <f t="shared" si="2"/>
        <v>-0.06</v>
      </c>
      <c r="H5" s="331">
        <f t="shared" si="2"/>
        <v>-0.06</v>
      </c>
      <c r="I5" s="331">
        <f t="shared" si="2"/>
        <v>-0.06</v>
      </c>
      <c r="J5" s="331">
        <f t="shared" si="2"/>
        <v>-0.06</v>
      </c>
      <c r="K5" s="331">
        <v>0</v>
      </c>
      <c r="L5" s="331">
        <v>0</v>
      </c>
      <c r="M5" s="331">
        <v>0</v>
      </c>
      <c r="N5" s="331">
        <v>0</v>
      </c>
      <c r="O5" s="329">
        <f t="shared" ref="O5:O13" si="3">SUM(C5:N5)</f>
        <v>-0.60000000000000009</v>
      </c>
    </row>
    <row r="6" spans="1:15" ht="16">
      <c r="A6" s="311" t="s">
        <v>178</v>
      </c>
      <c r="B6" s="1167" t="s">
        <v>618</v>
      </c>
      <c r="C6" s="331">
        <f>0.7*0.35</f>
        <v>0.24499999999999997</v>
      </c>
      <c r="D6" s="331">
        <f>0.7*0.15</f>
        <v>0.105</v>
      </c>
      <c r="E6" s="331">
        <f t="shared" ref="E6:J6" si="4">0.7*0.08</f>
        <v>5.5999999999999994E-2</v>
      </c>
      <c r="F6" s="331">
        <f t="shared" si="4"/>
        <v>5.5999999999999994E-2</v>
      </c>
      <c r="G6" s="331">
        <f t="shared" si="4"/>
        <v>5.5999999999999994E-2</v>
      </c>
      <c r="H6" s="331">
        <f t="shared" si="4"/>
        <v>5.5999999999999994E-2</v>
      </c>
      <c r="I6" s="331">
        <f t="shared" si="4"/>
        <v>5.5999999999999994E-2</v>
      </c>
      <c r="J6" s="331">
        <f t="shared" si="4"/>
        <v>5.5999999999999994E-2</v>
      </c>
      <c r="K6" s="331">
        <f>0.01</f>
        <v>0.01</v>
      </c>
      <c r="L6" s="331">
        <v>0</v>
      </c>
      <c r="M6" s="331">
        <v>0</v>
      </c>
      <c r="N6" s="331">
        <v>0</v>
      </c>
      <c r="O6" s="329">
        <f t="shared" si="3"/>
        <v>0.69600000000000017</v>
      </c>
    </row>
    <row r="7" spans="1:15" ht="16">
      <c r="A7" s="311" t="s">
        <v>181</v>
      </c>
      <c r="B7" s="1167" t="s">
        <v>1202</v>
      </c>
      <c r="C7" s="331">
        <f>0.9*0.35</f>
        <v>0.315</v>
      </c>
      <c r="D7" s="331">
        <f>0.9*0.35</f>
        <v>0.315</v>
      </c>
      <c r="E7" s="331">
        <f>0.9*0.1</f>
        <v>9.0000000000000011E-2</v>
      </c>
      <c r="F7" s="331">
        <f>0.9*0.1</f>
        <v>9.0000000000000011E-2</v>
      </c>
      <c r="G7" s="331">
        <f>0.9*0.05</f>
        <v>4.5000000000000005E-2</v>
      </c>
      <c r="H7" s="331">
        <f>0.9*0.05</f>
        <v>4.5000000000000005E-2</v>
      </c>
      <c r="I7" s="331">
        <v>0</v>
      </c>
      <c r="J7" s="331">
        <v>0</v>
      </c>
      <c r="K7" s="331">
        <v>0</v>
      </c>
      <c r="L7" s="331">
        <v>0</v>
      </c>
      <c r="M7" s="331">
        <v>0</v>
      </c>
      <c r="N7" s="331">
        <v>0</v>
      </c>
      <c r="O7" s="329">
        <f t="shared" si="3"/>
        <v>0.9</v>
      </c>
    </row>
    <row r="8" spans="1:15" ht="16">
      <c r="A8" s="311" t="s">
        <v>554</v>
      </c>
      <c r="B8" s="1167" t="s">
        <v>1203</v>
      </c>
      <c r="C8" s="331">
        <f>0.9*0.25</f>
        <v>0.22500000000000001</v>
      </c>
      <c r="D8" s="331">
        <f>0.9*0.25</f>
        <v>0.22500000000000001</v>
      </c>
      <c r="E8" s="331">
        <f>0.9*0.25</f>
        <v>0.22500000000000001</v>
      </c>
      <c r="F8" s="331">
        <f>0.9*0.25</f>
        <v>0.22500000000000001</v>
      </c>
      <c r="G8" s="331">
        <v>0</v>
      </c>
      <c r="H8" s="331">
        <v>0</v>
      </c>
      <c r="I8" s="331">
        <v>0</v>
      </c>
      <c r="J8" s="331">
        <v>0</v>
      </c>
      <c r="K8" s="331">
        <v>0</v>
      </c>
      <c r="L8" s="331">
        <v>0</v>
      </c>
      <c r="M8" s="331">
        <v>0</v>
      </c>
      <c r="N8" s="331">
        <v>0</v>
      </c>
      <c r="O8" s="329">
        <f t="shared" si="3"/>
        <v>0.9</v>
      </c>
    </row>
    <row r="9" spans="1:15" ht="16">
      <c r="A9" s="311" t="s">
        <v>564</v>
      </c>
      <c r="B9" s="1167" t="s">
        <v>1204</v>
      </c>
      <c r="C9" s="331">
        <f>0.45*0.11</f>
        <v>4.9500000000000002E-2</v>
      </c>
      <c r="D9" s="331">
        <f>0.45*0.095</f>
        <v>4.2750000000000003E-2</v>
      </c>
      <c r="E9" s="331">
        <f>0.45*0.09</f>
        <v>4.0500000000000001E-2</v>
      </c>
      <c r="F9" s="331">
        <f>0.45*0.085</f>
        <v>3.8250000000000006E-2</v>
      </c>
      <c r="G9" s="331">
        <f>0.45*0.08</f>
        <v>3.6000000000000004E-2</v>
      </c>
      <c r="H9" s="331">
        <f>0.45*0.08</f>
        <v>3.6000000000000004E-2</v>
      </c>
      <c r="I9" s="331">
        <f>0.45*0.08</f>
        <v>3.6000000000000004E-2</v>
      </c>
      <c r="J9" s="331">
        <f>0.45*0.08</f>
        <v>3.6000000000000004E-2</v>
      </c>
      <c r="K9" s="331">
        <f>0.45*0.075</f>
        <v>3.3750000000000002E-2</v>
      </c>
      <c r="L9" s="331">
        <f>0.45*0.075</f>
        <v>3.3750000000000002E-2</v>
      </c>
      <c r="M9" s="331">
        <f>0.45*0.075</f>
        <v>3.3750000000000002E-2</v>
      </c>
      <c r="N9" s="331">
        <f>0.45*0.075</f>
        <v>3.3750000000000002E-2</v>
      </c>
      <c r="O9" s="329">
        <f t="shared" si="3"/>
        <v>0.45000000000000007</v>
      </c>
    </row>
    <row r="10" spans="1:15" ht="16">
      <c r="A10" s="311" t="s">
        <v>509</v>
      </c>
      <c r="B10" s="1167" t="s">
        <v>619</v>
      </c>
      <c r="C10" s="331">
        <v>0.14000000000000001</v>
      </c>
      <c r="D10" s="331">
        <v>0.1</v>
      </c>
      <c r="E10" s="331">
        <v>0.1</v>
      </c>
      <c r="F10" s="331">
        <v>0.05</v>
      </c>
      <c r="G10" s="331">
        <v>0.05</v>
      </c>
      <c r="H10" s="331">
        <v>0.05</v>
      </c>
      <c r="I10" s="331">
        <v>0.05</v>
      </c>
      <c r="J10" s="331">
        <v>0.05</v>
      </c>
      <c r="K10" s="331">
        <v>0.05</v>
      </c>
      <c r="L10" s="331">
        <v>0.05</v>
      </c>
      <c r="M10" s="331">
        <v>0</v>
      </c>
      <c r="N10" s="331">
        <v>0</v>
      </c>
      <c r="O10" s="329">
        <f>SUM(C10:N10)</f>
        <v>0.69000000000000017</v>
      </c>
    </row>
    <row r="11" spans="1:15" ht="16">
      <c r="A11" s="311" t="s">
        <v>510</v>
      </c>
      <c r="B11" s="1167" t="s">
        <v>1205</v>
      </c>
      <c r="C11" s="331">
        <v>0.14000000000000001</v>
      </c>
      <c r="D11" s="331">
        <v>0.14000000000000001</v>
      </c>
      <c r="E11" s="331">
        <v>0.2</v>
      </c>
      <c r="F11" s="331">
        <v>0.2</v>
      </c>
      <c r="G11" s="331">
        <v>0.09</v>
      </c>
      <c r="H11" s="331">
        <v>0.05</v>
      </c>
      <c r="I11" s="331">
        <v>0.05</v>
      </c>
      <c r="J11" s="331">
        <v>0.04</v>
      </c>
      <c r="K11" s="331">
        <v>0</v>
      </c>
      <c r="L11" s="331">
        <v>0</v>
      </c>
      <c r="M11" s="331">
        <v>0</v>
      </c>
      <c r="N11" s="331">
        <v>0</v>
      </c>
      <c r="O11" s="329">
        <f>SUM(C11:N11)</f>
        <v>0.91000000000000014</v>
      </c>
    </row>
    <row r="12" spans="1:15" ht="34">
      <c r="A12" s="312" t="s">
        <v>550</v>
      </c>
      <c r="B12" s="1169" t="s">
        <v>1206</v>
      </c>
      <c r="C12" s="331">
        <v>0.14000000000000001</v>
      </c>
      <c r="D12" s="331">
        <v>0.14000000000000001</v>
      </c>
      <c r="E12" s="331">
        <v>0.2</v>
      </c>
      <c r="F12" s="331">
        <v>0.2</v>
      </c>
      <c r="G12" s="331">
        <v>0.09</v>
      </c>
      <c r="H12" s="331">
        <v>0.05</v>
      </c>
      <c r="I12" s="331">
        <v>0.05</v>
      </c>
      <c r="J12" s="331">
        <v>0.03</v>
      </c>
      <c r="K12" s="331">
        <v>0</v>
      </c>
      <c r="L12" s="331">
        <v>0</v>
      </c>
      <c r="M12" s="331">
        <v>0</v>
      </c>
      <c r="N12" s="331">
        <v>0</v>
      </c>
      <c r="O12" s="329">
        <f t="shared" si="3"/>
        <v>0.90000000000000013</v>
      </c>
    </row>
    <row r="13" spans="1:15" ht="34">
      <c r="A13" s="312" t="s">
        <v>535</v>
      </c>
      <c r="B13" s="1169" t="s">
        <v>1207</v>
      </c>
      <c r="C13" s="331">
        <v>0.14000000000000001</v>
      </c>
      <c r="D13" s="331">
        <v>0.1</v>
      </c>
      <c r="E13" s="331">
        <v>0.1</v>
      </c>
      <c r="F13" s="331">
        <v>0.05</v>
      </c>
      <c r="G13" s="331">
        <v>0.05</v>
      </c>
      <c r="H13" s="331">
        <v>0.05</v>
      </c>
      <c r="I13" s="331">
        <v>0.05</v>
      </c>
      <c r="J13" s="331">
        <v>0.05</v>
      </c>
      <c r="K13" s="331">
        <v>0.05</v>
      </c>
      <c r="L13" s="331">
        <v>0.05</v>
      </c>
      <c r="M13" s="331">
        <v>0.05</v>
      </c>
      <c r="N13" s="331">
        <v>0</v>
      </c>
      <c r="O13" s="329">
        <f t="shared" si="3"/>
        <v>0.74000000000000021</v>
      </c>
    </row>
    <row r="14" spans="1:15" ht="34">
      <c r="A14" s="312" t="s">
        <v>565</v>
      </c>
      <c r="B14" s="1169" t="s">
        <v>1208</v>
      </c>
      <c r="C14" s="331">
        <v>0.04</v>
      </c>
      <c r="D14" s="331">
        <v>0.04</v>
      </c>
      <c r="E14" s="331">
        <v>1.7000000000000001E-2</v>
      </c>
      <c r="F14" s="331">
        <v>1.7000000000000001E-2</v>
      </c>
      <c r="G14" s="331">
        <v>1.7000000000000001E-2</v>
      </c>
      <c r="H14" s="331">
        <v>1.7000000000000001E-2</v>
      </c>
      <c r="I14" s="331">
        <v>1.7000000000000001E-2</v>
      </c>
      <c r="J14" s="331">
        <v>1.7000000000000001E-2</v>
      </c>
      <c r="K14" s="331">
        <v>1.7000000000000001E-2</v>
      </c>
      <c r="L14" s="331">
        <v>1.7000000000000001E-2</v>
      </c>
      <c r="M14" s="331">
        <v>1.7000000000000001E-2</v>
      </c>
      <c r="N14" s="331">
        <v>1.7000000000000001E-2</v>
      </c>
      <c r="O14" s="329">
        <f>SUM(C14:N14)</f>
        <v>0.25000000000000011</v>
      </c>
    </row>
  </sheetData>
  <mergeCells count="1">
    <mergeCell ref="A1:O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CB60C-F1DF-43E2-922C-52EF64AA88B6}">
  <dimension ref="A1:V21"/>
  <sheetViews>
    <sheetView zoomScale="74" zoomScaleNormal="211" workbookViewId="0">
      <selection activeCell="D27" sqref="D27"/>
    </sheetView>
  </sheetViews>
  <sheetFormatPr baseColWidth="10" defaultColWidth="8.83203125" defaultRowHeight="15"/>
  <cols>
    <col min="2" max="2" width="38.83203125" customWidth="1"/>
    <col min="3" max="9" width="10.6640625" style="560" customWidth="1"/>
    <col min="10" max="20" width="7.1640625" customWidth="1"/>
    <col min="21" max="21" width="20.33203125" customWidth="1"/>
    <col min="22" max="22" width="11.83203125" customWidth="1"/>
  </cols>
  <sheetData>
    <row r="1" spans="1:22" s="560" customFormat="1">
      <c r="B1" s="1342" t="s">
        <v>291</v>
      </c>
      <c r="C1" s="1342"/>
      <c r="D1" s="1342"/>
      <c r="E1" s="1342"/>
      <c r="F1" s="1342"/>
      <c r="G1" s="1342"/>
      <c r="H1" s="1342"/>
      <c r="I1" s="1342"/>
      <c r="J1" s="1342"/>
      <c r="K1" s="1342"/>
      <c r="L1" s="1342"/>
      <c r="M1" s="1342"/>
      <c r="N1" s="1342"/>
      <c r="O1" s="1342"/>
      <c r="P1" s="1342"/>
      <c r="Q1" s="1342"/>
      <c r="R1" s="1342"/>
      <c r="S1" s="1342"/>
      <c r="T1" s="1342"/>
    </row>
    <row r="2" spans="1:22">
      <c r="B2" s="1353" t="s">
        <v>702</v>
      </c>
      <c r="C2" s="1353"/>
      <c r="D2" s="1353"/>
      <c r="E2" s="1353"/>
      <c r="F2" s="1353"/>
      <c r="G2" s="1353"/>
      <c r="H2" s="1353"/>
      <c r="I2" s="1353"/>
      <c r="J2" s="1353"/>
      <c r="K2" s="1353"/>
      <c r="L2" s="1353"/>
      <c r="M2" s="1353"/>
      <c r="N2" s="1353"/>
      <c r="O2" s="1353"/>
      <c r="P2" s="1353"/>
      <c r="Q2" s="1353"/>
      <c r="R2" s="1353"/>
      <c r="S2" s="1353"/>
      <c r="T2" s="1353"/>
    </row>
    <row r="3" spans="1:22">
      <c r="B3" s="1353"/>
      <c r="C3" s="1353"/>
      <c r="D3" s="1353"/>
      <c r="E3" s="1353"/>
      <c r="F3" s="1353"/>
      <c r="G3" s="1353"/>
      <c r="H3" s="1353"/>
      <c r="I3" s="1353"/>
      <c r="J3" s="1353"/>
      <c r="K3" s="1353"/>
      <c r="L3" s="1353"/>
      <c r="M3" s="1353"/>
      <c r="N3" s="1353"/>
      <c r="O3" s="1353"/>
      <c r="P3" s="1353"/>
      <c r="Q3" s="1353"/>
      <c r="R3" s="1353"/>
      <c r="S3" s="1353"/>
      <c r="T3" s="1353"/>
    </row>
    <row r="4" spans="1:22">
      <c r="B4" s="1353"/>
      <c r="C4" s="1353"/>
      <c r="D4" s="1353"/>
      <c r="E4" s="1353"/>
      <c r="F4" s="1353"/>
      <c r="G4" s="1353"/>
      <c r="H4" s="1353"/>
      <c r="I4" s="1353"/>
      <c r="J4" s="1353"/>
      <c r="K4" s="1353"/>
      <c r="L4" s="1353"/>
      <c r="M4" s="1353"/>
      <c r="N4" s="1353"/>
      <c r="O4" s="1353"/>
      <c r="P4" s="1353"/>
      <c r="Q4" s="1353"/>
      <c r="R4" s="1353"/>
      <c r="S4" s="1353"/>
      <c r="T4" s="1353"/>
    </row>
    <row r="5" spans="1:22">
      <c r="B5" s="1353"/>
      <c r="C5" s="1353"/>
      <c r="D5" s="1353"/>
      <c r="E5" s="1353"/>
      <c r="F5" s="1353"/>
      <c r="G5" s="1353"/>
      <c r="H5" s="1353"/>
      <c r="I5" s="1353"/>
      <c r="J5" s="1353"/>
      <c r="K5" s="1353"/>
      <c r="L5" s="1353"/>
      <c r="M5" s="1353"/>
      <c r="N5" s="1353"/>
      <c r="O5" s="1353"/>
      <c r="P5" s="1353"/>
      <c r="Q5" s="1353"/>
      <c r="R5" s="1353"/>
      <c r="S5" s="1353"/>
      <c r="T5" s="1353"/>
    </row>
    <row r="6" spans="1:22">
      <c r="B6" s="1353"/>
      <c r="C6" s="1353"/>
      <c r="D6" s="1353"/>
      <c r="E6" s="1353"/>
      <c r="F6" s="1353"/>
      <c r="G6" s="1353"/>
      <c r="H6" s="1353"/>
      <c r="I6" s="1353"/>
      <c r="J6" s="1353"/>
      <c r="K6" s="1353"/>
      <c r="L6" s="1353"/>
      <c r="M6" s="1353"/>
      <c r="N6" s="1353"/>
      <c r="O6" s="1353"/>
      <c r="P6" s="1353"/>
      <c r="Q6" s="1353"/>
      <c r="R6" s="1353"/>
      <c r="S6" s="1353"/>
      <c r="T6" s="1353"/>
    </row>
    <row r="7" spans="1:22">
      <c r="J7" s="298"/>
      <c r="K7" s="298"/>
      <c r="M7" s="298"/>
    </row>
    <row r="9" spans="1:22" s="301" customFormat="1" ht="14.5" customHeight="1">
      <c r="A9" s="590"/>
      <c r="B9" s="1354" t="s">
        <v>426</v>
      </c>
      <c r="C9" s="1355"/>
      <c r="D9" s="661">
        <v>2018</v>
      </c>
      <c r="E9" s="1364">
        <v>2019</v>
      </c>
      <c r="F9" s="1365"/>
      <c r="G9" s="1365"/>
      <c r="H9" s="1366"/>
      <c r="I9" s="1361">
        <v>2020</v>
      </c>
      <c r="J9" s="1362"/>
      <c r="K9" s="1362"/>
      <c r="L9" s="1363"/>
      <c r="M9" s="1367">
        <v>2021</v>
      </c>
      <c r="N9" s="1368"/>
      <c r="O9" s="1358">
        <v>2021</v>
      </c>
      <c r="P9" s="1360"/>
      <c r="Q9" s="1358">
        <v>2022</v>
      </c>
      <c r="R9" s="1359"/>
      <c r="S9" s="1359"/>
      <c r="T9" s="1360"/>
    </row>
    <row r="10" spans="1:22" s="301" customFormat="1" ht="16">
      <c r="A10" s="569"/>
      <c r="B10" s="1356"/>
      <c r="C10" s="1357"/>
      <c r="D10" s="662" t="s">
        <v>138</v>
      </c>
      <c r="E10" s="663" t="s">
        <v>135</v>
      </c>
      <c r="F10" s="658" t="s">
        <v>136</v>
      </c>
      <c r="G10" s="658" t="s">
        <v>137</v>
      </c>
      <c r="H10" s="659" t="s">
        <v>138</v>
      </c>
      <c r="I10" s="663" t="s">
        <v>135</v>
      </c>
      <c r="J10" s="658" t="s">
        <v>136</v>
      </c>
      <c r="K10" s="658" t="s">
        <v>137</v>
      </c>
      <c r="L10" s="658" t="s">
        <v>138</v>
      </c>
      <c r="M10" s="451" t="s">
        <v>135</v>
      </c>
      <c r="N10" s="982" t="s">
        <v>136</v>
      </c>
      <c r="O10" s="545" t="s">
        <v>137</v>
      </c>
      <c r="P10" s="556" t="s">
        <v>138</v>
      </c>
      <c r="Q10" s="544" t="s">
        <v>135</v>
      </c>
      <c r="R10" s="545" t="s">
        <v>136</v>
      </c>
      <c r="S10" s="545" t="s">
        <v>137</v>
      </c>
      <c r="T10" s="556" t="s">
        <v>138</v>
      </c>
    </row>
    <row r="11" spans="1:22" s="301" customFormat="1" ht="32">
      <c r="A11" s="549"/>
      <c r="B11" s="542" t="s">
        <v>695</v>
      </c>
      <c r="C11" s="597" t="s">
        <v>244</v>
      </c>
      <c r="D11" s="660"/>
      <c r="E11" s="660"/>
      <c r="F11" s="660"/>
      <c r="G11" s="660"/>
      <c r="H11" s="660"/>
      <c r="I11" s="660"/>
      <c r="J11" s="573">
        <f>'Haver Pivoted'!GU48</f>
        <v>160.9</v>
      </c>
      <c r="K11" s="573">
        <f>'Haver Pivoted'!GV48</f>
        <v>58.4</v>
      </c>
      <c r="L11" s="573">
        <f>'Haver Pivoted'!GW48</f>
        <v>34.5</v>
      </c>
      <c r="M11" s="573">
        <f>'Haver Pivoted'!GX48</f>
        <v>42.8</v>
      </c>
      <c r="N11" s="573">
        <f>'Haver Pivoted'!GY48</f>
        <v>26.6</v>
      </c>
      <c r="O11" s="555">
        <f t="shared" ref="O11:P13" si="0">O$14*O15</f>
        <v>17.350000000000001</v>
      </c>
      <c r="P11" s="598">
        <f t="shared" si="0"/>
        <v>13.7</v>
      </c>
      <c r="Q11" s="598">
        <f t="shared" ref="Q11:S11" si="1">Q$14*Q15</f>
        <v>11.55</v>
      </c>
      <c r="R11" s="598">
        <f t="shared" si="1"/>
        <v>2.5499999999999998</v>
      </c>
      <c r="S11" s="598">
        <f t="shared" si="1"/>
        <v>2.5499999999999998</v>
      </c>
      <c r="T11" s="861"/>
    </row>
    <row r="12" spans="1:22" s="301" customFormat="1" ht="32">
      <c r="A12" s="548"/>
      <c r="B12" s="543" t="s">
        <v>697</v>
      </c>
      <c r="C12" s="541" t="s">
        <v>3</v>
      </c>
      <c r="D12" s="656"/>
      <c r="E12" s="656"/>
      <c r="F12" s="656"/>
      <c r="G12" s="656"/>
      <c r="H12" s="656"/>
      <c r="I12" s="656"/>
      <c r="J12" s="557">
        <f>'Haver Pivoted'!GU58</f>
        <v>64.400000000000006</v>
      </c>
      <c r="K12" s="557">
        <f>'Haver Pivoted'!GV58</f>
        <v>23.4</v>
      </c>
      <c r="L12" s="557">
        <f>'Haver Pivoted'!GW58</f>
        <v>13.8</v>
      </c>
      <c r="M12" s="557">
        <f>'Haver Pivoted'!GX58</f>
        <v>17.100000000000001</v>
      </c>
      <c r="N12" s="557">
        <f>'Haver Pivoted'!GY58</f>
        <v>10.6</v>
      </c>
      <c r="O12" s="554">
        <f t="shared" si="0"/>
        <v>6.9139097744360907</v>
      </c>
      <c r="P12" s="546">
        <f t="shared" si="0"/>
        <v>5.4593984962406008</v>
      </c>
      <c r="Q12" s="546">
        <f t="shared" ref="Q12:S12" si="2">Q$14*Q16</f>
        <v>4.6026315789473689</v>
      </c>
      <c r="R12" s="546">
        <f t="shared" si="2"/>
        <v>1.0161654135338345</v>
      </c>
      <c r="S12" s="546">
        <f t="shared" si="2"/>
        <v>1.0161654135338345</v>
      </c>
      <c r="T12" s="556"/>
    </row>
    <row r="13" spans="1:22" s="301" customFormat="1" ht="42" customHeight="1">
      <c r="A13" s="548"/>
      <c r="B13" s="543" t="s">
        <v>696</v>
      </c>
      <c r="C13" s="541" t="s">
        <v>250</v>
      </c>
      <c r="D13" s="656"/>
      <c r="E13" s="656"/>
      <c r="F13" s="656"/>
      <c r="G13" s="656"/>
      <c r="H13" s="656"/>
      <c r="I13" s="656"/>
      <c r="J13" s="557">
        <f>'Haver Pivoted'!GU54</f>
        <v>96.6</v>
      </c>
      <c r="K13" s="557">
        <f>'Haver Pivoted'!GV54</f>
        <v>35.1</v>
      </c>
      <c r="L13" s="557">
        <f>'Haver Pivoted'!GW54</f>
        <v>20.7</v>
      </c>
      <c r="M13" s="557">
        <f>'Haver Pivoted'!GX54</f>
        <v>25.7</v>
      </c>
      <c r="N13" s="557">
        <f>'Haver Pivoted'!GY54</f>
        <v>16</v>
      </c>
      <c r="O13" s="554">
        <f t="shared" si="0"/>
        <v>10.436090225563911</v>
      </c>
      <c r="P13" s="546">
        <f t="shared" si="0"/>
        <v>8.2406015037593985</v>
      </c>
      <c r="Q13" s="546">
        <f t="shared" ref="Q13:S13" si="3">Q$14*Q17</f>
        <v>6.9473684210526319</v>
      </c>
      <c r="R13" s="546">
        <f t="shared" si="3"/>
        <v>1.5338345864661653</v>
      </c>
      <c r="S13" s="546">
        <f t="shared" si="3"/>
        <v>1.5338345864661653</v>
      </c>
      <c r="T13" s="556"/>
      <c r="U13" s="710" t="s">
        <v>1017</v>
      </c>
      <c r="V13" s="708" t="s">
        <v>1016</v>
      </c>
    </row>
    <row r="14" spans="1:22">
      <c r="A14" s="569"/>
      <c r="B14" s="707" t="s">
        <v>5</v>
      </c>
      <c r="C14" s="552"/>
      <c r="D14" s="446"/>
      <c r="E14" s="446"/>
      <c r="F14" s="446"/>
      <c r="G14" s="446"/>
      <c r="H14" s="446"/>
      <c r="I14" s="446"/>
      <c r="J14" s="573">
        <f>J13+J12+J11</f>
        <v>321.89999999999998</v>
      </c>
      <c r="K14" s="573">
        <f>K13+K12+K11</f>
        <v>116.9</v>
      </c>
      <c r="L14" s="573">
        <f>L13+L12+L11</f>
        <v>69</v>
      </c>
      <c r="M14" s="573">
        <f>M13+M12+M11</f>
        <v>85.6</v>
      </c>
      <c r="N14" s="573">
        <f>N13+N12+N11</f>
        <v>53.2</v>
      </c>
      <c r="O14" s="981">
        <v>34.700000000000003</v>
      </c>
      <c r="P14" s="545">
        <v>27.4</v>
      </c>
      <c r="Q14" s="545">
        <v>23.1</v>
      </c>
      <c r="R14" s="545">
        <v>5.0999999999999996</v>
      </c>
      <c r="S14" s="545">
        <v>5.0999999999999996</v>
      </c>
      <c r="T14" s="556"/>
      <c r="U14" s="711">
        <v>186.5</v>
      </c>
      <c r="V14" s="709">
        <f>SUM(J14:S14)/4</f>
        <v>185.50000000000003</v>
      </c>
    </row>
    <row r="15" spans="1:22">
      <c r="A15" s="569"/>
      <c r="B15" s="547" t="s">
        <v>692</v>
      </c>
      <c r="C15" s="551"/>
      <c r="D15" s="553"/>
      <c r="E15" s="553"/>
      <c r="F15" s="553"/>
      <c r="G15" s="553"/>
      <c r="H15" s="553"/>
      <c r="I15" s="553"/>
      <c r="J15" s="596">
        <f t="shared" ref="J15:N17" si="4">J11/J$14</f>
        <v>0.49984467225846541</v>
      </c>
      <c r="K15" s="596">
        <f t="shared" si="4"/>
        <v>0.49957228400342168</v>
      </c>
      <c r="L15" s="596">
        <f t="shared" si="4"/>
        <v>0.5</v>
      </c>
      <c r="M15" s="596">
        <f t="shared" si="4"/>
        <v>0.5</v>
      </c>
      <c r="N15" s="859">
        <f t="shared" si="4"/>
        <v>0.5</v>
      </c>
      <c r="O15" s="592">
        <f t="shared" ref="O15:P17" si="5">N15</f>
        <v>0.5</v>
      </c>
      <c r="P15" s="593">
        <f t="shared" si="5"/>
        <v>0.5</v>
      </c>
      <c r="Q15" s="593">
        <f t="shared" ref="Q15:Q17" si="6">P15</f>
        <v>0.5</v>
      </c>
      <c r="R15" s="593">
        <f t="shared" ref="R15:R17" si="7">Q15</f>
        <v>0.5</v>
      </c>
      <c r="S15" s="593">
        <f t="shared" ref="S15:S17" si="8">R15</f>
        <v>0.5</v>
      </c>
      <c r="T15" s="556"/>
    </row>
    <row r="16" spans="1:22">
      <c r="A16" s="569"/>
      <c r="B16" s="547" t="s">
        <v>693</v>
      </c>
      <c r="C16" s="551"/>
      <c r="D16" s="553"/>
      <c r="E16" s="553"/>
      <c r="F16" s="553"/>
      <c r="G16" s="553"/>
      <c r="H16" s="553"/>
      <c r="I16" s="553"/>
      <c r="J16" s="596">
        <f t="shared" si="4"/>
        <v>0.20006213109661389</v>
      </c>
      <c r="K16" s="596">
        <f t="shared" si="4"/>
        <v>0.20017108639863129</v>
      </c>
      <c r="L16" s="596">
        <f t="shared" si="4"/>
        <v>0.2</v>
      </c>
      <c r="M16" s="596">
        <f t="shared" si="4"/>
        <v>0.19976635514018695</v>
      </c>
      <c r="N16" s="859">
        <f t="shared" si="4"/>
        <v>0.19924812030075187</v>
      </c>
      <c r="O16" s="592">
        <f t="shared" si="5"/>
        <v>0.19924812030075187</v>
      </c>
      <c r="P16" s="593">
        <f t="shared" si="5"/>
        <v>0.19924812030075187</v>
      </c>
      <c r="Q16" s="593">
        <f t="shared" si="6"/>
        <v>0.19924812030075187</v>
      </c>
      <c r="R16" s="593">
        <f t="shared" si="7"/>
        <v>0.19924812030075187</v>
      </c>
      <c r="S16" s="593">
        <f t="shared" si="8"/>
        <v>0.19924812030075187</v>
      </c>
      <c r="T16" s="556"/>
    </row>
    <row r="17" spans="1:20">
      <c r="A17" s="569"/>
      <c r="B17" s="599" t="s">
        <v>694</v>
      </c>
      <c r="C17" s="600"/>
      <c r="D17" s="657"/>
      <c r="E17" s="657"/>
      <c r="F17" s="657"/>
      <c r="G17" s="657"/>
      <c r="H17" s="657"/>
      <c r="I17" s="657"/>
      <c r="J17" s="394">
        <f t="shared" si="4"/>
        <v>0.30009319664492079</v>
      </c>
      <c r="K17" s="394">
        <f t="shared" si="4"/>
        <v>0.30025662959794697</v>
      </c>
      <c r="L17" s="394">
        <f t="shared" si="4"/>
        <v>0.3</v>
      </c>
      <c r="M17" s="394">
        <f t="shared" si="4"/>
        <v>0.30023364485981308</v>
      </c>
      <c r="N17" s="394">
        <f t="shared" si="4"/>
        <v>0.3007518796992481</v>
      </c>
      <c r="O17" s="601">
        <f t="shared" si="5"/>
        <v>0.3007518796992481</v>
      </c>
      <c r="P17" s="602">
        <f t="shared" si="5"/>
        <v>0.3007518796992481</v>
      </c>
      <c r="Q17" s="602">
        <f t="shared" si="6"/>
        <v>0.3007518796992481</v>
      </c>
      <c r="R17" s="602">
        <f t="shared" si="7"/>
        <v>0.3007518796992481</v>
      </c>
      <c r="S17" s="602">
        <f t="shared" si="8"/>
        <v>0.3007518796992481</v>
      </c>
      <c r="T17" s="603"/>
    </row>
    <row r="18" spans="1:20">
      <c r="A18" s="569"/>
      <c r="B18" s="569"/>
      <c r="C18" s="569"/>
      <c r="D18" s="569"/>
      <c r="E18" s="569"/>
      <c r="F18" s="569"/>
      <c r="G18" s="569"/>
      <c r="H18" s="569"/>
      <c r="I18" s="569"/>
      <c r="J18" s="569"/>
      <c r="K18" s="569"/>
      <c r="L18" s="569"/>
      <c r="M18" s="569"/>
      <c r="N18" s="569"/>
      <c r="O18" s="569"/>
      <c r="P18" s="569"/>
      <c r="Q18" s="569"/>
      <c r="R18" s="569"/>
      <c r="S18" s="569"/>
      <c r="T18" s="569"/>
    </row>
    <row r="19" spans="1:20">
      <c r="A19" s="569"/>
      <c r="B19" s="569"/>
      <c r="C19" s="569"/>
      <c r="D19" s="569"/>
      <c r="E19" s="569"/>
      <c r="F19" s="569"/>
      <c r="G19" s="569"/>
      <c r="H19" s="569"/>
      <c r="I19" s="569"/>
      <c r="J19" s="569"/>
      <c r="K19" s="569"/>
      <c r="L19" s="569"/>
      <c r="M19" s="569"/>
      <c r="N19" s="569"/>
      <c r="O19" s="569"/>
      <c r="P19" s="569"/>
      <c r="Q19" s="569"/>
      <c r="R19" s="569"/>
      <c r="S19" s="569"/>
      <c r="T19" s="569"/>
    </row>
    <row r="20" spans="1:20">
      <c r="A20" s="569"/>
      <c r="B20" s="569"/>
      <c r="C20" s="569"/>
      <c r="D20" s="569"/>
      <c r="E20" s="569"/>
      <c r="F20" s="569"/>
      <c r="G20" s="569"/>
      <c r="H20" s="569"/>
      <c r="I20" s="569"/>
      <c r="J20" s="569"/>
      <c r="K20" s="569"/>
      <c r="L20" s="569"/>
      <c r="M20" s="569"/>
      <c r="N20" s="569"/>
      <c r="O20" s="569"/>
      <c r="P20" s="569"/>
      <c r="Q20" s="569"/>
      <c r="R20" s="569"/>
      <c r="S20" s="569"/>
      <c r="T20" s="569"/>
    </row>
    <row r="21" spans="1:20">
      <c r="A21" s="569"/>
      <c r="B21" s="569"/>
      <c r="C21" s="569"/>
      <c r="D21" s="569"/>
      <c r="E21" s="569"/>
      <c r="F21" s="569"/>
      <c r="G21" s="569"/>
      <c r="H21" s="569"/>
      <c r="I21" s="569"/>
      <c r="J21" s="569"/>
      <c r="K21" s="569"/>
      <c r="L21" s="569"/>
      <c r="M21" s="569"/>
      <c r="N21" s="569"/>
      <c r="O21" s="569"/>
      <c r="P21" s="569"/>
      <c r="Q21" s="569"/>
      <c r="R21" s="569"/>
      <c r="S21" s="569"/>
      <c r="T21" s="569"/>
    </row>
  </sheetData>
  <mergeCells count="8">
    <mergeCell ref="B2:T6"/>
    <mergeCell ref="B1:T1"/>
    <mergeCell ref="B9:C10"/>
    <mergeCell ref="Q9:T9"/>
    <mergeCell ref="I9:L9"/>
    <mergeCell ref="E9:H9"/>
    <mergeCell ref="O9:P9"/>
    <mergeCell ref="M9:N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A7C0F-7036-4206-9F7A-25F0AED641BC}">
  <dimension ref="G1:Z63"/>
  <sheetViews>
    <sheetView topLeftCell="G1" zoomScale="61" zoomScaleNormal="143" workbookViewId="0">
      <selection activeCell="Z54" sqref="Z54"/>
    </sheetView>
  </sheetViews>
  <sheetFormatPr baseColWidth="10" defaultColWidth="8.6640625" defaultRowHeight="14"/>
  <cols>
    <col min="1" max="6" width="0" style="302" hidden="1" customWidth="1"/>
    <col min="7" max="7" width="8.6640625" style="302"/>
    <col min="8" max="8" width="22.6640625" style="302" customWidth="1"/>
    <col min="9" max="9" width="11.33203125" style="302" customWidth="1"/>
    <col min="10" max="10" width="13.1640625" style="302" customWidth="1"/>
    <col min="11" max="11" width="6.1640625" style="302" customWidth="1"/>
    <col min="12" max="12" width="8.83203125" style="302" bestFit="1" customWidth="1"/>
    <col min="13" max="13" width="9.33203125" style="302" bestFit="1" customWidth="1"/>
    <col min="14" max="18" width="8.83203125" style="302" bestFit="1" customWidth="1"/>
    <col min="19" max="19" width="9.5" style="302" bestFit="1" customWidth="1"/>
    <col min="20" max="16384" width="8.6640625" style="302"/>
  </cols>
  <sheetData>
    <row r="1" spans="8:22">
      <c r="H1" s="1372" t="s">
        <v>362</v>
      </c>
      <c r="I1" s="1372"/>
      <c r="J1" s="1372"/>
      <c r="K1" s="1372"/>
      <c r="L1" s="1372"/>
      <c r="M1" s="1372"/>
      <c r="N1" s="1372"/>
      <c r="O1" s="1372"/>
      <c r="P1" s="1372"/>
      <c r="Q1" s="1372"/>
      <c r="R1" s="1372"/>
      <c r="S1" s="1372"/>
    </row>
    <row r="2" spans="8:22">
      <c r="H2" s="1370" t="s">
        <v>633</v>
      </c>
      <c r="I2" s="1371"/>
      <c r="J2" s="1371"/>
      <c r="K2" s="1371"/>
      <c r="L2" s="1371"/>
      <c r="M2" s="1371"/>
      <c r="N2" s="1371"/>
      <c r="O2" s="1371"/>
      <c r="P2" s="1371"/>
      <c r="Q2" s="1371"/>
      <c r="R2" s="1371"/>
      <c r="S2" s="1371"/>
    </row>
    <row r="3" spans="8:22">
      <c r="H3" s="1371"/>
      <c r="I3" s="1371"/>
      <c r="J3" s="1371"/>
      <c r="K3" s="1371"/>
      <c r="L3" s="1371"/>
      <c r="M3" s="1371"/>
      <c r="N3" s="1371"/>
      <c r="O3" s="1371"/>
      <c r="P3" s="1371"/>
      <c r="Q3" s="1371"/>
      <c r="R3" s="1371"/>
      <c r="S3" s="1371"/>
    </row>
    <row r="4" spans="8:22">
      <c r="H4" s="1371"/>
      <c r="I4" s="1371"/>
      <c r="J4" s="1371"/>
      <c r="K4" s="1371"/>
      <c r="L4" s="1371"/>
      <c r="M4" s="1371"/>
      <c r="N4" s="1371"/>
      <c r="O4" s="1371"/>
      <c r="P4" s="1371"/>
      <c r="Q4" s="1371"/>
      <c r="R4" s="1371"/>
      <c r="S4" s="1371"/>
    </row>
    <row r="5" spans="8:22" ht="54.5" customHeight="1">
      <c r="H5" s="1371"/>
      <c r="I5" s="1371"/>
      <c r="J5" s="1371"/>
      <c r="K5" s="1371"/>
      <c r="L5" s="1371"/>
      <c r="M5" s="1371"/>
      <c r="N5" s="1371"/>
      <c r="O5" s="1371"/>
      <c r="P5" s="1371"/>
      <c r="Q5" s="1371"/>
      <c r="R5" s="1371"/>
      <c r="S5" s="1371"/>
    </row>
    <row r="6" spans="8:22">
      <c r="H6" s="412"/>
      <c r="I6" s="412"/>
      <c r="J6" s="412"/>
      <c r="K6" s="412"/>
      <c r="L6" s="412"/>
      <c r="M6" s="412"/>
      <c r="N6" s="412"/>
      <c r="O6" s="412"/>
      <c r="P6" s="412"/>
      <c r="Q6" s="412"/>
      <c r="R6" s="412"/>
      <c r="S6" s="412"/>
    </row>
    <row r="7" spans="8:22">
      <c r="H7" s="396" t="s">
        <v>490</v>
      </c>
    </row>
    <row r="8" spans="8:22" ht="16" customHeight="1"/>
    <row r="9" spans="8:22" ht="15.5" customHeight="1">
      <c r="L9" s="1373">
        <v>2020</v>
      </c>
      <c r="M9" s="1374"/>
      <c r="N9" s="1374"/>
      <c r="O9" s="958">
        <v>2021</v>
      </c>
      <c r="P9" s="1045"/>
      <c r="Q9" s="936"/>
      <c r="R9" s="937"/>
      <c r="S9" s="413"/>
    </row>
    <row r="10" spans="8:22" s="44" customFormat="1" ht="30">
      <c r="H10" s="417" t="s">
        <v>491</v>
      </c>
      <c r="I10" s="417" t="s">
        <v>492</v>
      </c>
      <c r="J10" s="445" t="s">
        <v>493</v>
      </c>
      <c r="K10" s="416"/>
      <c r="L10" s="938" t="s">
        <v>136</v>
      </c>
      <c r="M10" s="957" t="s">
        <v>137</v>
      </c>
      <c r="N10" s="957" t="s">
        <v>138</v>
      </c>
      <c r="O10" s="957" t="s">
        <v>135</v>
      </c>
      <c r="P10" s="1046" t="s">
        <v>136</v>
      </c>
      <c r="Q10" s="414" t="s">
        <v>137</v>
      </c>
      <c r="R10" s="415" t="s">
        <v>138</v>
      </c>
      <c r="S10" s="595" t="s">
        <v>703</v>
      </c>
      <c r="T10" s="416"/>
      <c r="U10" s="416"/>
      <c r="V10" s="416"/>
    </row>
    <row r="11" spans="8:22">
      <c r="H11" s="421">
        <v>43934</v>
      </c>
      <c r="I11" s="48">
        <v>248</v>
      </c>
      <c r="J11" s="379">
        <f>I11</f>
        <v>248</v>
      </c>
      <c r="K11" s="389"/>
      <c r="L11" s="439">
        <f>S11/26*J11</f>
        <v>95.384615384615387</v>
      </c>
      <c r="M11" s="440">
        <f>13/26*J11</f>
        <v>124</v>
      </c>
      <c r="N11" s="440">
        <f>J11-SUM(L11:M11)</f>
        <v>28.615384615384613</v>
      </c>
      <c r="O11" s="440"/>
      <c r="P11" s="1043"/>
      <c r="Q11" s="437"/>
      <c r="R11" s="438"/>
      <c r="S11" s="419">
        <v>10</v>
      </c>
      <c r="T11" s="389"/>
      <c r="U11" s="420"/>
      <c r="V11" s="419"/>
    </row>
    <row r="12" spans="8:22">
      <c r="H12" s="422">
        <v>43937</v>
      </c>
      <c r="I12" s="48">
        <v>342</v>
      </c>
      <c r="J12" s="379">
        <f>I12-I11</f>
        <v>94</v>
      </c>
      <c r="K12" s="389"/>
      <c r="L12" s="439">
        <f t="shared" ref="L12:L20" si="0">S12/26*J12</f>
        <v>36.153846153846153</v>
      </c>
      <c r="M12" s="440">
        <f t="shared" ref="M12:M20" si="1">13/26*J12</f>
        <v>47</v>
      </c>
      <c r="N12" s="440">
        <f t="shared" ref="N12:N21" si="2">J12-SUM(L12:M12)</f>
        <v>10.84615384615384</v>
      </c>
      <c r="O12" s="440"/>
      <c r="P12" s="1043"/>
      <c r="Q12" s="440"/>
      <c r="R12" s="441"/>
      <c r="S12" s="389">
        <v>10</v>
      </c>
      <c r="T12" s="389"/>
      <c r="U12" s="389"/>
      <c r="V12" s="389"/>
    </row>
    <row r="13" spans="8:22">
      <c r="H13" s="422">
        <v>43952</v>
      </c>
      <c r="I13" s="48">
        <v>518</v>
      </c>
      <c r="J13" s="379">
        <f>I13-I12</f>
        <v>176</v>
      </c>
      <c r="K13" s="389"/>
      <c r="L13" s="439">
        <f t="shared" si="0"/>
        <v>54.15384615384616</v>
      </c>
      <c r="M13" s="440">
        <f t="shared" si="1"/>
        <v>88</v>
      </c>
      <c r="N13" s="440">
        <f t="shared" si="2"/>
        <v>33.84615384615384</v>
      </c>
      <c r="O13" s="440"/>
      <c r="P13" s="1043"/>
      <c r="Q13" s="440"/>
      <c r="R13" s="441"/>
      <c r="S13" s="389">
        <v>8</v>
      </c>
      <c r="T13" s="389"/>
      <c r="U13" s="389"/>
      <c r="V13" s="389"/>
    </row>
    <row r="14" spans="8:22">
      <c r="H14" s="422">
        <v>43959</v>
      </c>
      <c r="I14" s="48">
        <v>531</v>
      </c>
      <c r="J14" s="379">
        <f t="shared" ref="J14:J45" si="3">I14-I13</f>
        <v>13</v>
      </c>
      <c r="K14" s="389"/>
      <c r="L14" s="439">
        <f t="shared" si="0"/>
        <v>3.5</v>
      </c>
      <c r="M14" s="440">
        <f t="shared" si="1"/>
        <v>6.5</v>
      </c>
      <c r="N14" s="440">
        <f t="shared" si="2"/>
        <v>3</v>
      </c>
      <c r="O14" s="440"/>
      <c r="P14" s="1043"/>
      <c r="Q14" s="440"/>
      <c r="R14" s="441"/>
      <c r="S14" s="389">
        <f t="shared" ref="S14:S20" si="4">S13-1</f>
        <v>7</v>
      </c>
      <c r="T14" s="389"/>
      <c r="U14" s="389"/>
      <c r="V14" s="389"/>
    </row>
    <row r="15" spans="8:22">
      <c r="H15" s="422">
        <v>43967</v>
      </c>
      <c r="I15" s="48">
        <v>513</v>
      </c>
      <c r="J15" s="379">
        <f t="shared" si="3"/>
        <v>-18</v>
      </c>
      <c r="K15" s="389"/>
      <c r="L15" s="439">
        <f t="shared" ref="L15:L17" si="5">S15/26*J15</f>
        <v>-4.1538461538461542</v>
      </c>
      <c r="M15" s="440">
        <f t="shared" ref="M15:M17" si="6">13/26*J15</f>
        <v>-9</v>
      </c>
      <c r="N15" s="440">
        <f t="shared" ref="N15:N17" si="7">J15-SUM(L15:M15)</f>
        <v>-4.8461538461538467</v>
      </c>
      <c r="O15" s="440"/>
      <c r="P15" s="1043"/>
      <c r="Q15" s="440"/>
      <c r="R15" s="441"/>
      <c r="S15" s="389">
        <f t="shared" si="4"/>
        <v>6</v>
      </c>
      <c r="T15" s="389"/>
      <c r="U15" s="389"/>
      <c r="V15" s="389"/>
    </row>
    <row r="16" spans="8:22">
      <c r="H16" s="422">
        <v>43974</v>
      </c>
      <c r="I16" s="48">
        <v>511</v>
      </c>
      <c r="J16" s="379">
        <f t="shared" si="3"/>
        <v>-2</v>
      </c>
      <c r="K16" s="389"/>
      <c r="L16" s="439">
        <f t="shared" si="5"/>
        <v>-0.38461538461538464</v>
      </c>
      <c r="M16" s="440">
        <f t="shared" si="6"/>
        <v>-1</v>
      </c>
      <c r="N16" s="440">
        <f t="shared" si="7"/>
        <v>-0.61538461538461542</v>
      </c>
      <c r="O16" s="440"/>
      <c r="P16" s="1043"/>
      <c r="Q16" s="440"/>
      <c r="R16" s="441"/>
      <c r="S16" s="389">
        <f t="shared" si="4"/>
        <v>5</v>
      </c>
      <c r="T16" s="389"/>
      <c r="U16" s="389"/>
      <c r="V16" s="389"/>
    </row>
    <row r="17" spans="8:22">
      <c r="H17" s="422">
        <v>43981</v>
      </c>
      <c r="I17" s="48">
        <v>510</v>
      </c>
      <c r="J17" s="379">
        <f t="shared" si="3"/>
        <v>-1</v>
      </c>
      <c r="K17" s="389"/>
      <c r="L17" s="439">
        <f t="shared" si="5"/>
        <v>-0.15384615384615385</v>
      </c>
      <c r="M17" s="440">
        <f t="shared" si="6"/>
        <v>-0.5</v>
      </c>
      <c r="N17" s="440">
        <f t="shared" si="7"/>
        <v>-0.34615384615384615</v>
      </c>
      <c r="O17" s="440"/>
      <c r="P17" s="1043"/>
      <c r="Q17" s="440"/>
      <c r="R17" s="441"/>
      <c r="S17" s="389">
        <f t="shared" si="4"/>
        <v>4</v>
      </c>
      <c r="T17" s="389"/>
      <c r="U17" s="389"/>
      <c r="V17" s="389"/>
    </row>
    <row r="18" spans="8:22">
      <c r="H18" s="422">
        <v>43988</v>
      </c>
      <c r="I18" s="48">
        <v>511</v>
      </c>
      <c r="J18" s="379">
        <f t="shared" si="3"/>
        <v>1</v>
      </c>
      <c r="K18" s="389"/>
      <c r="L18" s="439">
        <f t="shared" si="0"/>
        <v>0.11538461538461539</v>
      </c>
      <c r="M18" s="440">
        <f t="shared" si="1"/>
        <v>0.5</v>
      </c>
      <c r="N18" s="440">
        <f t="shared" si="2"/>
        <v>0.38461538461538458</v>
      </c>
      <c r="O18" s="440"/>
      <c r="P18" s="1043"/>
      <c r="Q18" s="440"/>
      <c r="R18" s="441"/>
      <c r="S18" s="389">
        <f t="shared" si="4"/>
        <v>3</v>
      </c>
      <c r="T18" s="389"/>
      <c r="U18" s="389"/>
      <c r="V18" s="389"/>
    </row>
    <row r="19" spans="8:22">
      <c r="H19" s="422">
        <v>43994</v>
      </c>
      <c r="I19" s="48">
        <v>512</v>
      </c>
      <c r="J19" s="379">
        <f t="shared" si="3"/>
        <v>1</v>
      </c>
      <c r="K19" s="389"/>
      <c r="L19" s="439">
        <f t="shared" si="0"/>
        <v>7.6923076923076927E-2</v>
      </c>
      <c r="M19" s="440">
        <f t="shared" si="1"/>
        <v>0.5</v>
      </c>
      <c r="N19" s="440">
        <f t="shared" si="2"/>
        <v>0.42307692307692313</v>
      </c>
      <c r="O19" s="440"/>
      <c r="P19" s="1043"/>
      <c r="Q19" s="440"/>
      <c r="R19" s="441"/>
      <c r="S19" s="389">
        <f t="shared" si="4"/>
        <v>2</v>
      </c>
      <c r="T19" s="389"/>
      <c r="U19" s="389"/>
      <c r="V19" s="389"/>
    </row>
    <row r="20" spans="8:22">
      <c r="H20" s="422">
        <v>44002</v>
      </c>
      <c r="I20" s="48">
        <v>515</v>
      </c>
      <c r="J20" s="379">
        <f t="shared" si="3"/>
        <v>3</v>
      </c>
      <c r="K20" s="389"/>
      <c r="L20" s="439">
        <f t="shared" si="0"/>
        <v>0.11538461538461539</v>
      </c>
      <c r="M20" s="440">
        <f t="shared" si="1"/>
        <v>1.5</v>
      </c>
      <c r="N20" s="440">
        <f t="shared" si="2"/>
        <v>1.3846153846153846</v>
      </c>
      <c r="O20" s="440"/>
      <c r="P20" s="1043"/>
      <c r="Q20" s="440"/>
      <c r="R20" s="441"/>
      <c r="S20" s="389">
        <f t="shared" si="4"/>
        <v>1</v>
      </c>
      <c r="T20" s="389"/>
      <c r="U20" s="389"/>
      <c r="V20" s="389"/>
    </row>
    <row r="21" spans="8:22">
      <c r="H21" s="422">
        <v>44009</v>
      </c>
      <c r="I21" s="48">
        <v>519</v>
      </c>
      <c r="J21" s="379">
        <f t="shared" si="3"/>
        <v>4</v>
      </c>
      <c r="K21" s="389"/>
      <c r="L21" s="439"/>
      <c r="M21" s="440">
        <f>S21/26*J21</f>
        <v>2</v>
      </c>
      <c r="N21" s="440">
        <f t="shared" si="2"/>
        <v>2</v>
      </c>
      <c r="O21" s="440"/>
      <c r="P21" s="1043"/>
      <c r="Q21" s="440"/>
      <c r="R21" s="441"/>
      <c r="S21" s="389">
        <v>13</v>
      </c>
      <c r="T21" s="389"/>
      <c r="U21" s="389"/>
      <c r="V21" s="389"/>
    </row>
    <row r="22" spans="8:22">
      <c r="H22" s="422">
        <v>44012</v>
      </c>
      <c r="I22" s="48">
        <v>521</v>
      </c>
      <c r="J22" s="379">
        <f t="shared" si="3"/>
        <v>2</v>
      </c>
      <c r="K22" s="389"/>
      <c r="L22" s="439"/>
      <c r="M22" s="440">
        <f t="shared" ref="M22:M26" si="8">S22/26*J22</f>
        <v>1</v>
      </c>
      <c r="N22" s="440">
        <f>J22-SUM(L22:M22)</f>
        <v>1</v>
      </c>
      <c r="O22" s="440"/>
      <c r="P22" s="1043"/>
      <c r="Q22" s="440"/>
      <c r="R22" s="441"/>
      <c r="S22" s="389">
        <v>13</v>
      </c>
      <c r="T22" s="389"/>
      <c r="U22" s="389"/>
      <c r="V22" s="389"/>
    </row>
    <row r="23" spans="8:22">
      <c r="H23" s="422">
        <v>44029</v>
      </c>
      <c r="I23" s="48">
        <v>518</v>
      </c>
      <c r="J23" s="379">
        <f t="shared" si="3"/>
        <v>-3</v>
      </c>
      <c r="K23" s="389"/>
      <c r="L23" s="439"/>
      <c r="M23" s="440">
        <f t="shared" ref="M23" si="9">S23/26*J23</f>
        <v>-1.153846153846154</v>
      </c>
      <c r="N23" s="440">
        <f t="shared" ref="N23" si="10">13/26*J23</f>
        <v>-1.5</v>
      </c>
      <c r="O23" s="440">
        <f t="shared" ref="O23" si="11">J23-N23-M23</f>
        <v>-0.34615384615384603</v>
      </c>
      <c r="P23" s="1043"/>
      <c r="Q23" s="440"/>
      <c r="R23" s="441"/>
      <c r="S23" s="389">
        <f>S22-3</f>
        <v>10</v>
      </c>
      <c r="T23" s="389"/>
      <c r="U23" s="389"/>
      <c r="V23" s="389"/>
    </row>
    <row r="24" spans="8:22">
      <c r="H24" s="422">
        <v>44036</v>
      </c>
      <c r="I24" s="48">
        <v>520</v>
      </c>
      <c r="J24" s="379">
        <f t="shared" si="3"/>
        <v>2</v>
      </c>
      <c r="K24" s="389"/>
      <c r="L24" s="439"/>
      <c r="M24" s="440">
        <f t="shared" si="8"/>
        <v>0.69230769230769229</v>
      </c>
      <c r="N24" s="440">
        <f t="shared" ref="N24:N26" si="12">13/26*J24</f>
        <v>1</v>
      </c>
      <c r="O24" s="440">
        <f t="shared" ref="O24:O26" si="13">J24-N24-M24</f>
        <v>0.30769230769230771</v>
      </c>
      <c r="P24" s="1043"/>
      <c r="Q24" s="440"/>
      <c r="R24" s="441"/>
      <c r="S24" s="389">
        <f>S23-1</f>
        <v>9</v>
      </c>
      <c r="T24" s="389"/>
      <c r="U24" s="389"/>
      <c r="V24" s="389"/>
    </row>
    <row r="25" spans="8:22">
      <c r="H25" s="422">
        <v>44043</v>
      </c>
      <c r="I25" s="48">
        <v>521</v>
      </c>
      <c r="J25" s="379">
        <f t="shared" si="3"/>
        <v>1</v>
      </c>
      <c r="K25" s="389"/>
      <c r="L25" s="439"/>
      <c r="M25" s="440">
        <f t="shared" si="8"/>
        <v>0.30769230769230771</v>
      </c>
      <c r="N25" s="440">
        <f t="shared" si="12"/>
        <v>0.5</v>
      </c>
      <c r="O25" s="440">
        <f t="shared" si="13"/>
        <v>0.19230769230769229</v>
      </c>
      <c r="P25" s="1043"/>
      <c r="Q25" s="440"/>
      <c r="R25" s="441"/>
      <c r="S25" s="389">
        <f>S24-1</f>
        <v>8</v>
      </c>
      <c r="T25" s="389"/>
      <c r="U25" s="389"/>
      <c r="V25" s="389"/>
    </row>
    <row r="26" spans="8:22">
      <c r="H26" s="422">
        <v>44051</v>
      </c>
      <c r="I26" s="48">
        <v>525</v>
      </c>
      <c r="J26" s="379">
        <f t="shared" si="3"/>
        <v>4</v>
      </c>
      <c r="K26" s="389"/>
      <c r="L26" s="439"/>
      <c r="M26" s="440">
        <f t="shared" si="8"/>
        <v>1.0769230769230769</v>
      </c>
      <c r="N26" s="440">
        <f t="shared" si="12"/>
        <v>2</v>
      </c>
      <c r="O26" s="440">
        <f t="shared" si="13"/>
        <v>0.92307692307692313</v>
      </c>
      <c r="P26" s="1043"/>
      <c r="Q26" s="440"/>
      <c r="R26" s="441"/>
      <c r="S26" s="389">
        <f>S25-1</f>
        <v>7</v>
      </c>
      <c r="T26" s="389"/>
      <c r="U26" s="389"/>
      <c r="V26" s="389"/>
    </row>
    <row r="27" spans="8:22">
      <c r="H27" s="422">
        <v>44220</v>
      </c>
      <c r="I27" s="48">
        <v>558</v>
      </c>
      <c r="J27" s="379">
        <f t="shared" si="3"/>
        <v>33</v>
      </c>
      <c r="K27" s="389"/>
      <c r="L27" s="439"/>
      <c r="M27" s="440"/>
      <c r="N27" s="440"/>
      <c r="O27" s="440">
        <f>S27/26*J27</f>
        <v>12.692307692307693</v>
      </c>
      <c r="P27" s="1043">
        <f>J27/2</f>
        <v>16.5</v>
      </c>
      <c r="Q27" s="440">
        <f>J27-P27-O27</f>
        <v>3.8076923076923066</v>
      </c>
      <c r="R27" s="441"/>
      <c r="S27" s="389">
        <v>10</v>
      </c>
      <c r="T27" s="389">
        <v>10</v>
      </c>
      <c r="U27" s="389"/>
      <c r="V27" s="389"/>
    </row>
    <row r="28" spans="8:22">
      <c r="H28" s="422">
        <v>44227</v>
      </c>
      <c r="I28" s="48">
        <v>596</v>
      </c>
      <c r="J28" s="379">
        <f t="shared" si="3"/>
        <v>38</v>
      </c>
      <c r="K28" s="389"/>
      <c r="L28" s="439"/>
      <c r="M28" s="440"/>
      <c r="N28" s="440"/>
      <c r="O28" s="440">
        <f t="shared" ref="O28:O36" si="14">S28/26*J28</f>
        <v>13.153846153846153</v>
      </c>
      <c r="P28" s="1043">
        <f t="shared" ref="P28:P36" si="15">J28/2</f>
        <v>19</v>
      </c>
      <c r="Q28" s="440">
        <f t="shared" ref="Q28:Q36" si="16">J28-P28-O28</f>
        <v>5.8461538461538467</v>
      </c>
      <c r="R28" s="441"/>
      <c r="S28" s="389">
        <f>S27-1</f>
        <v>9</v>
      </c>
      <c r="T28" s="389">
        <f>T27-1</f>
        <v>9</v>
      </c>
      <c r="U28" s="389"/>
      <c r="V28" s="389"/>
    </row>
    <row r="29" spans="8:22">
      <c r="H29" s="422">
        <v>44234</v>
      </c>
      <c r="I29" s="48">
        <v>623</v>
      </c>
      <c r="J29" s="379">
        <f t="shared" si="3"/>
        <v>27</v>
      </c>
      <c r="K29" s="389"/>
      <c r="L29" s="439"/>
      <c r="M29" s="440"/>
      <c r="N29" s="440"/>
      <c r="O29" s="440">
        <f t="shared" si="14"/>
        <v>8.3076923076923084</v>
      </c>
      <c r="P29" s="1043">
        <f t="shared" si="15"/>
        <v>13.5</v>
      </c>
      <c r="Q29" s="440">
        <f t="shared" si="16"/>
        <v>5.1923076923076916</v>
      </c>
      <c r="R29" s="441"/>
      <c r="S29" s="389">
        <f t="shared" ref="S29:S36" si="17">S28-1</f>
        <v>8</v>
      </c>
      <c r="T29" s="389">
        <f t="shared" ref="T29:T36" si="18">T28-1</f>
        <v>8</v>
      </c>
      <c r="U29" s="389"/>
      <c r="V29" s="389"/>
    </row>
    <row r="30" spans="8:22">
      <c r="H30" s="422">
        <v>44242</v>
      </c>
      <c r="I30" s="48">
        <v>648</v>
      </c>
      <c r="J30" s="379">
        <f t="shared" si="3"/>
        <v>25</v>
      </c>
      <c r="K30" s="389"/>
      <c r="L30" s="439"/>
      <c r="M30" s="440"/>
      <c r="N30" s="440"/>
      <c r="O30" s="440">
        <f t="shared" si="14"/>
        <v>6.7307692307692308</v>
      </c>
      <c r="P30" s="1043">
        <f t="shared" si="15"/>
        <v>12.5</v>
      </c>
      <c r="Q30" s="440">
        <f t="shared" si="16"/>
        <v>5.7692307692307692</v>
      </c>
      <c r="R30" s="441"/>
      <c r="S30" s="389">
        <f t="shared" si="17"/>
        <v>7</v>
      </c>
      <c r="T30" s="389">
        <f t="shared" si="18"/>
        <v>7</v>
      </c>
      <c r="U30" s="389"/>
      <c r="V30" s="389"/>
    </row>
    <row r="31" spans="8:22">
      <c r="H31" s="422">
        <v>44248</v>
      </c>
      <c r="I31" s="48">
        <v>663</v>
      </c>
      <c r="J31" s="379">
        <f t="shared" si="3"/>
        <v>15</v>
      </c>
      <c r="K31" s="389"/>
      <c r="L31" s="439"/>
      <c r="M31" s="440"/>
      <c r="N31" s="440"/>
      <c r="O31" s="440">
        <f t="shared" si="14"/>
        <v>3.4615384615384617</v>
      </c>
      <c r="P31" s="1043">
        <f t="shared" si="15"/>
        <v>7.5</v>
      </c>
      <c r="Q31" s="440">
        <f t="shared" si="16"/>
        <v>4.0384615384615383</v>
      </c>
      <c r="R31" s="441"/>
      <c r="S31" s="389">
        <f t="shared" si="17"/>
        <v>6</v>
      </c>
      <c r="T31" s="389">
        <f t="shared" si="18"/>
        <v>6</v>
      </c>
      <c r="U31" s="389"/>
      <c r="V31" s="389"/>
    </row>
    <row r="32" spans="8:22">
      <c r="H32" s="422">
        <v>44255</v>
      </c>
      <c r="I32" s="48">
        <v>679</v>
      </c>
      <c r="J32" s="379">
        <f t="shared" si="3"/>
        <v>16</v>
      </c>
      <c r="K32" s="389"/>
      <c r="L32" s="439"/>
      <c r="M32" s="440"/>
      <c r="N32" s="440"/>
      <c r="O32" s="440">
        <f t="shared" si="14"/>
        <v>3.0769230769230771</v>
      </c>
      <c r="P32" s="1043">
        <f t="shared" si="15"/>
        <v>8</v>
      </c>
      <c r="Q32" s="440">
        <f t="shared" si="16"/>
        <v>4.9230769230769234</v>
      </c>
      <c r="R32" s="441"/>
      <c r="S32" s="389">
        <f t="shared" si="17"/>
        <v>5</v>
      </c>
      <c r="T32" s="389">
        <f t="shared" si="18"/>
        <v>5</v>
      </c>
      <c r="U32" s="389"/>
      <c r="V32" s="389"/>
    </row>
    <row r="33" spans="8:26">
      <c r="H33" s="422">
        <v>44262</v>
      </c>
      <c r="I33" s="48">
        <v>687</v>
      </c>
      <c r="J33" s="379">
        <f t="shared" si="3"/>
        <v>8</v>
      </c>
      <c r="K33" s="389"/>
      <c r="L33" s="439"/>
      <c r="M33" s="440"/>
      <c r="N33" s="440"/>
      <c r="O33" s="440">
        <f t="shared" si="14"/>
        <v>1.2307692307692308</v>
      </c>
      <c r="P33" s="1043">
        <f t="shared" si="15"/>
        <v>4</v>
      </c>
      <c r="Q33" s="440">
        <f t="shared" si="16"/>
        <v>2.7692307692307692</v>
      </c>
      <c r="R33" s="441"/>
      <c r="S33" s="389">
        <f t="shared" si="17"/>
        <v>4</v>
      </c>
      <c r="T33" s="389">
        <f t="shared" si="18"/>
        <v>4</v>
      </c>
      <c r="U33" s="389"/>
      <c r="V33" s="389"/>
    </row>
    <row r="34" spans="8:26">
      <c r="H34" s="422">
        <v>44269</v>
      </c>
      <c r="I34" s="48">
        <v>704</v>
      </c>
      <c r="J34" s="379">
        <f t="shared" si="3"/>
        <v>17</v>
      </c>
      <c r="K34" s="389"/>
      <c r="L34" s="439"/>
      <c r="M34" s="440"/>
      <c r="N34" s="440"/>
      <c r="O34" s="440">
        <f t="shared" si="14"/>
        <v>1.9615384615384617</v>
      </c>
      <c r="P34" s="1043">
        <f t="shared" si="15"/>
        <v>8.5</v>
      </c>
      <c r="Q34" s="440">
        <f t="shared" si="16"/>
        <v>6.5384615384615383</v>
      </c>
      <c r="R34" s="441"/>
      <c r="S34" s="389">
        <f t="shared" si="17"/>
        <v>3</v>
      </c>
      <c r="T34" s="389">
        <f t="shared" si="18"/>
        <v>3</v>
      </c>
      <c r="U34" s="389"/>
      <c r="V34" s="389"/>
    </row>
    <row r="35" spans="8:26">
      <c r="H35" s="422">
        <v>44276</v>
      </c>
      <c r="I35" s="48">
        <v>718</v>
      </c>
      <c r="J35" s="379">
        <f t="shared" si="3"/>
        <v>14</v>
      </c>
      <c r="K35" s="389"/>
      <c r="L35" s="439"/>
      <c r="M35" s="440"/>
      <c r="N35" s="440"/>
      <c r="O35" s="440">
        <f t="shared" si="14"/>
        <v>1.0769230769230771</v>
      </c>
      <c r="P35" s="1043">
        <f t="shared" si="15"/>
        <v>7</v>
      </c>
      <c r="Q35" s="440">
        <f t="shared" si="16"/>
        <v>5.9230769230769234</v>
      </c>
      <c r="R35" s="441"/>
      <c r="S35" s="389">
        <f t="shared" si="17"/>
        <v>2</v>
      </c>
      <c r="T35" s="389">
        <f t="shared" si="18"/>
        <v>2</v>
      </c>
      <c r="U35" s="389"/>
      <c r="V35" s="389"/>
    </row>
    <row r="36" spans="8:26">
      <c r="H36" s="422">
        <v>44283</v>
      </c>
      <c r="I36" s="48">
        <v>734</v>
      </c>
      <c r="J36" s="379">
        <f t="shared" si="3"/>
        <v>16</v>
      </c>
      <c r="K36" s="389"/>
      <c r="L36" s="439"/>
      <c r="M36" s="440"/>
      <c r="N36" s="440"/>
      <c r="O36" s="440">
        <f t="shared" si="14"/>
        <v>0.61538461538461542</v>
      </c>
      <c r="P36" s="1043">
        <f t="shared" si="15"/>
        <v>8</v>
      </c>
      <c r="Q36" s="440">
        <f t="shared" si="16"/>
        <v>7.384615384615385</v>
      </c>
      <c r="R36" s="441"/>
      <c r="S36" s="389">
        <f t="shared" si="17"/>
        <v>1</v>
      </c>
      <c r="T36" s="389">
        <f t="shared" si="18"/>
        <v>1</v>
      </c>
      <c r="U36" s="389"/>
      <c r="V36" s="389"/>
    </row>
    <row r="37" spans="8:26">
      <c r="H37" s="422">
        <v>44290</v>
      </c>
      <c r="I37" s="48">
        <v>746</v>
      </c>
      <c r="J37" s="379">
        <f t="shared" si="3"/>
        <v>12</v>
      </c>
      <c r="K37" s="389"/>
      <c r="L37" s="439"/>
      <c r="M37" s="440"/>
      <c r="N37" s="440"/>
      <c r="O37" s="440"/>
      <c r="P37" s="1043">
        <f>T37/26*J37</f>
        <v>6</v>
      </c>
      <c r="Q37" s="440">
        <f>J37/2</f>
        <v>6</v>
      </c>
      <c r="R37" s="441">
        <f>J37-Q37-P37</f>
        <v>0</v>
      </c>
      <c r="S37" s="389">
        <v>13</v>
      </c>
      <c r="T37" s="389">
        <v>13</v>
      </c>
      <c r="U37" s="389"/>
      <c r="V37" s="389"/>
    </row>
    <row r="38" spans="8:26">
      <c r="H38" s="422">
        <v>44297</v>
      </c>
      <c r="I38" s="48">
        <v>755</v>
      </c>
      <c r="J38" s="379">
        <f t="shared" si="3"/>
        <v>9</v>
      </c>
      <c r="K38" s="389"/>
      <c r="L38" s="439"/>
      <c r="M38" s="440"/>
      <c r="N38" s="440"/>
      <c r="O38" s="440"/>
      <c r="P38" s="1043">
        <f t="shared" ref="P38:P45" si="19">T38/26*J38</f>
        <v>4.1538461538461542</v>
      </c>
      <c r="Q38" s="440">
        <f t="shared" ref="Q38:Q45" si="20">J38/2</f>
        <v>4.5</v>
      </c>
      <c r="R38" s="441">
        <f t="shared" ref="R38:R45" si="21">J38-Q38-P38</f>
        <v>0.34615384615384581</v>
      </c>
      <c r="S38" s="389">
        <f>S37-1</f>
        <v>12</v>
      </c>
      <c r="T38" s="389">
        <f>T37-1</f>
        <v>12</v>
      </c>
      <c r="U38" s="389"/>
      <c r="V38" s="389"/>
    </row>
    <row r="39" spans="8:26">
      <c r="H39" s="422">
        <v>44304</v>
      </c>
      <c r="I39" s="48">
        <v>762</v>
      </c>
      <c r="J39" s="379">
        <f t="shared" si="3"/>
        <v>7</v>
      </c>
      <c r="K39" s="389"/>
      <c r="L39" s="439"/>
      <c r="M39" s="440"/>
      <c r="N39" s="440"/>
      <c r="O39" s="440"/>
      <c r="P39" s="1043">
        <f t="shared" si="19"/>
        <v>2.9615384615384617</v>
      </c>
      <c r="Q39" s="440">
        <f t="shared" si="20"/>
        <v>3.5</v>
      </c>
      <c r="R39" s="441">
        <f t="shared" si="21"/>
        <v>0.53846153846153832</v>
      </c>
      <c r="S39" s="389">
        <f t="shared" ref="S39:S45" si="22">S38-1</f>
        <v>11</v>
      </c>
      <c r="T39" s="389">
        <f t="shared" ref="T39:T45" si="23">T38-1</f>
        <v>11</v>
      </c>
      <c r="U39" s="389"/>
      <c r="V39" s="389"/>
    </row>
    <row r="40" spans="8:26">
      <c r="H40" s="422">
        <v>44311</v>
      </c>
      <c r="I40" s="48">
        <v>771</v>
      </c>
      <c r="J40" s="379">
        <f t="shared" si="3"/>
        <v>9</v>
      </c>
      <c r="K40" s="389"/>
      <c r="L40" s="439"/>
      <c r="M40" s="440"/>
      <c r="N40" s="440"/>
      <c r="O40" s="440"/>
      <c r="P40" s="1043">
        <f t="shared" si="19"/>
        <v>3.4615384615384617</v>
      </c>
      <c r="Q40" s="440">
        <f t="shared" si="20"/>
        <v>4.5</v>
      </c>
      <c r="R40" s="441">
        <f t="shared" si="21"/>
        <v>1.0384615384615383</v>
      </c>
      <c r="S40" s="389">
        <f t="shared" si="22"/>
        <v>10</v>
      </c>
      <c r="T40" s="389">
        <f t="shared" si="23"/>
        <v>10</v>
      </c>
      <c r="U40" s="389"/>
      <c r="V40" s="389"/>
    </row>
    <row r="41" spans="8:26">
      <c r="H41" s="422">
        <v>44318</v>
      </c>
      <c r="I41" s="48">
        <v>780</v>
      </c>
      <c r="J41" s="379">
        <f t="shared" si="3"/>
        <v>9</v>
      </c>
      <c r="K41" s="389"/>
      <c r="L41" s="439"/>
      <c r="M41" s="440"/>
      <c r="N41" s="440"/>
      <c r="O41" s="440"/>
      <c r="P41" s="1043">
        <f t="shared" si="19"/>
        <v>3.1153846153846154</v>
      </c>
      <c r="Q41" s="440">
        <f t="shared" si="20"/>
        <v>4.5</v>
      </c>
      <c r="R41" s="441">
        <f t="shared" si="21"/>
        <v>1.3846153846153846</v>
      </c>
      <c r="S41" s="389">
        <f t="shared" si="22"/>
        <v>9</v>
      </c>
      <c r="T41" s="389">
        <f t="shared" si="23"/>
        <v>9</v>
      </c>
      <c r="U41" s="389"/>
      <c r="V41" s="389"/>
    </row>
    <row r="42" spans="8:26">
      <c r="H42" s="422">
        <v>44325</v>
      </c>
      <c r="I42" s="48">
        <v>782</v>
      </c>
      <c r="J42" s="379">
        <f t="shared" si="3"/>
        <v>2</v>
      </c>
      <c r="K42" s="389"/>
      <c r="L42" s="439"/>
      <c r="M42" s="440"/>
      <c r="N42" s="440"/>
      <c r="O42" s="440"/>
      <c r="P42" s="1043">
        <f t="shared" si="19"/>
        <v>0.61538461538461542</v>
      </c>
      <c r="Q42" s="440">
        <f t="shared" si="20"/>
        <v>1</v>
      </c>
      <c r="R42" s="441">
        <f t="shared" si="21"/>
        <v>0.38461538461538458</v>
      </c>
      <c r="S42" s="389">
        <f t="shared" si="22"/>
        <v>8</v>
      </c>
      <c r="T42" s="389">
        <f t="shared" si="23"/>
        <v>8</v>
      </c>
      <c r="U42" s="389"/>
      <c r="V42" s="389"/>
    </row>
    <row r="43" spans="8:26">
      <c r="H43" s="422">
        <v>44332</v>
      </c>
      <c r="I43" s="48">
        <v>788</v>
      </c>
      <c r="J43" s="379">
        <f t="shared" si="3"/>
        <v>6</v>
      </c>
      <c r="K43" s="389"/>
      <c r="L43" s="439"/>
      <c r="M43" s="440"/>
      <c r="N43" s="440"/>
      <c r="O43" s="440"/>
      <c r="P43" s="1043">
        <f t="shared" si="19"/>
        <v>1.6153846153846154</v>
      </c>
      <c r="Q43" s="440">
        <f t="shared" si="20"/>
        <v>3</v>
      </c>
      <c r="R43" s="441">
        <f t="shared" si="21"/>
        <v>1.3846153846153846</v>
      </c>
      <c r="S43" s="389">
        <f t="shared" si="22"/>
        <v>7</v>
      </c>
      <c r="T43" s="389">
        <f t="shared" si="23"/>
        <v>7</v>
      </c>
      <c r="U43" s="389"/>
      <c r="V43" s="389"/>
    </row>
    <row r="44" spans="8:26">
      <c r="H44" s="422">
        <v>44339</v>
      </c>
      <c r="I44" s="48">
        <v>796</v>
      </c>
      <c r="J44" s="379">
        <f t="shared" si="3"/>
        <v>8</v>
      </c>
      <c r="K44" s="389"/>
      <c r="L44" s="439"/>
      <c r="M44" s="440"/>
      <c r="N44" s="440"/>
      <c r="O44" s="440"/>
      <c r="P44" s="1043">
        <f t="shared" si="19"/>
        <v>1.8461538461538463</v>
      </c>
      <c r="Q44" s="440">
        <f t="shared" si="20"/>
        <v>4</v>
      </c>
      <c r="R44" s="441">
        <f t="shared" si="21"/>
        <v>2.1538461538461537</v>
      </c>
      <c r="S44" s="389">
        <f t="shared" si="22"/>
        <v>6</v>
      </c>
      <c r="T44" s="389">
        <f t="shared" si="23"/>
        <v>6</v>
      </c>
      <c r="U44" s="389"/>
      <c r="V44" s="389"/>
    </row>
    <row r="45" spans="8:26">
      <c r="H45" s="423">
        <v>44347</v>
      </c>
      <c r="I45" s="196">
        <v>800</v>
      </c>
      <c r="J45" s="236">
        <f t="shared" si="3"/>
        <v>4</v>
      </c>
      <c r="K45" s="389"/>
      <c r="L45" s="439"/>
      <c r="M45" s="440"/>
      <c r="N45" s="440"/>
      <c r="O45" s="440"/>
      <c r="P45" s="1043">
        <f t="shared" si="19"/>
        <v>0.76923076923076927</v>
      </c>
      <c r="Q45" s="440">
        <f t="shared" si="20"/>
        <v>2</v>
      </c>
      <c r="R45" s="441">
        <f t="shared" si="21"/>
        <v>1.2307692307692308</v>
      </c>
      <c r="S45" s="389">
        <f t="shared" si="22"/>
        <v>5</v>
      </c>
      <c r="T45" s="389">
        <f t="shared" si="23"/>
        <v>5</v>
      </c>
      <c r="U45" s="389"/>
      <c r="V45" s="389"/>
    </row>
    <row r="46" spans="8:26">
      <c r="H46" s="389"/>
      <c r="I46" s="389"/>
      <c r="J46" s="389"/>
      <c r="K46" s="389"/>
      <c r="L46" s="439">
        <f>SUM(L11:L45)</f>
        <v>184.80769230769229</v>
      </c>
      <c r="M46" s="440">
        <f t="shared" ref="M46:R46" si="24">SUM(M11:M45)</f>
        <v>261.42307692307696</v>
      </c>
      <c r="N46" s="440">
        <f t="shared" si="24"/>
        <v>77.692307692307693</v>
      </c>
      <c r="O46" s="440">
        <f t="shared" si="24"/>
        <v>53.384615384615394</v>
      </c>
      <c r="P46" s="1043">
        <f t="shared" si="24"/>
        <v>129.03846153846155</v>
      </c>
      <c r="Q46" s="440">
        <f t="shared" si="24"/>
        <v>85.192307692307693</v>
      </c>
      <c r="R46" s="441">
        <f t="shared" si="24"/>
        <v>8.4615384615384599</v>
      </c>
      <c r="S46" s="389"/>
      <c r="T46" s="389"/>
      <c r="U46" s="389"/>
      <c r="V46" s="389"/>
    </row>
    <row r="47" spans="8:26">
      <c r="H47" s="389"/>
      <c r="I47" s="389"/>
      <c r="J47" s="389"/>
      <c r="K47" s="389"/>
      <c r="L47" s="442">
        <f>L46*4</f>
        <v>739.23076923076917</v>
      </c>
      <c r="M47" s="443">
        <f t="shared" ref="M47:R47" si="25">M46*4</f>
        <v>1045.6923076923078</v>
      </c>
      <c r="N47" s="443">
        <f t="shared" si="25"/>
        <v>310.76923076923077</v>
      </c>
      <c r="O47" s="443">
        <f t="shared" si="25"/>
        <v>213.53846153846158</v>
      </c>
      <c r="P47" s="1044">
        <f t="shared" si="25"/>
        <v>516.15384615384619</v>
      </c>
      <c r="Q47" s="443">
        <f t="shared" si="25"/>
        <v>340.76923076923077</v>
      </c>
      <c r="R47" s="444">
        <f t="shared" si="25"/>
        <v>33.84615384615384</v>
      </c>
      <c r="S47" s="389" t="s">
        <v>494</v>
      </c>
      <c r="T47" s="389"/>
      <c r="U47" s="389"/>
      <c r="V47" s="389"/>
    </row>
    <row r="48" spans="8:26">
      <c r="Q48" s="120"/>
      <c r="R48" s="120"/>
      <c r="S48" s="120"/>
      <c r="T48" s="120"/>
      <c r="U48" s="120"/>
      <c r="V48" s="120"/>
      <c r="W48" s="120"/>
      <c r="X48" s="120"/>
      <c r="Y48" s="120"/>
      <c r="Z48" s="120"/>
    </row>
    <row r="49" spans="7:26">
      <c r="Q49" s="120"/>
      <c r="R49" s="120"/>
      <c r="S49" s="120"/>
      <c r="T49" s="120"/>
      <c r="U49" s="120"/>
      <c r="V49" s="120"/>
      <c r="W49" s="120"/>
      <c r="X49" s="120"/>
      <c r="Y49" s="120"/>
      <c r="Z49" s="120"/>
    </row>
    <row r="50" spans="7:26">
      <c r="H50" s="1375" t="s">
        <v>601</v>
      </c>
      <c r="I50" s="1376"/>
      <c r="J50" s="1386" t="s">
        <v>261</v>
      </c>
      <c r="K50" s="1387"/>
      <c r="L50" s="1387"/>
      <c r="M50" s="1387"/>
      <c r="N50" s="1387"/>
      <c r="O50" s="1388" t="s">
        <v>143</v>
      </c>
      <c r="P50" s="1389"/>
      <c r="Q50" s="407"/>
      <c r="R50" s="407"/>
      <c r="S50" s="407"/>
      <c r="T50" s="407"/>
      <c r="U50" s="407"/>
      <c r="V50" s="407"/>
      <c r="W50" s="407"/>
      <c r="X50" s="407"/>
      <c r="Y50" s="407"/>
      <c r="Z50" s="120"/>
    </row>
    <row r="51" spans="7:26">
      <c r="H51" s="1377"/>
      <c r="I51" s="1378"/>
      <c r="J51" s="1373">
        <v>2020</v>
      </c>
      <c r="K51" s="1374"/>
      <c r="L51" s="1374"/>
      <c r="M51" s="1373">
        <v>2021</v>
      </c>
      <c r="N51" s="1383"/>
      <c r="O51" s="1384">
        <v>2021</v>
      </c>
      <c r="P51" s="1385"/>
      <c r="Q51" s="1381"/>
      <c r="R51" s="1382"/>
      <c r="S51" s="1382"/>
      <c r="T51" s="1382"/>
      <c r="U51" s="1369"/>
      <c r="V51" s="1369"/>
      <c r="W51" s="1369"/>
      <c r="X51" s="1369"/>
      <c r="Y51" s="120"/>
      <c r="Z51" s="120"/>
    </row>
    <row r="52" spans="7:26">
      <c r="H52" s="1379"/>
      <c r="I52" s="1380"/>
      <c r="J52" s="40" t="s">
        <v>136</v>
      </c>
      <c r="K52" s="41" t="s">
        <v>137</v>
      </c>
      <c r="L52" s="41" t="s">
        <v>138</v>
      </c>
      <c r="M52" s="40" t="s">
        <v>135</v>
      </c>
      <c r="N52" s="42" t="s">
        <v>136</v>
      </c>
      <c r="O52" s="65" t="s">
        <v>137</v>
      </c>
      <c r="P52" s="66" t="s">
        <v>138</v>
      </c>
      <c r="Q52" s="381"/>
      <c r="R52" s="37"/>
      <c r="S52" s="120"/>
      <c r="T52" s="120"/>
      <c r="U52" s="381"/>
      <c r="V52" s="37"/>
      <c r="W52" s="120"/>
      <c r="X52" s="120"/>
      <c r="Y52" s="120"/>
      <c r="Z52" s="120"/>
    </row>
    <row r="53" spans="7:26" ht="32.5" customHeight="1">
      <c r="H53" s="72" t="s">
        <v>1012</v>
      </c>
      <c r="I53" s="381" t="s">
        <v>243</v>
      </c>
      <c r="J53" s="930">
        <f>'Haver Pivoted'!GU47</f>
        <v>57.2</v>
      </c>
      <c r="K53" s="397">
        <f>'Haver Pivoted'!GV47</f>
        <v>81.2</v>
      </c>
      <c r="L53" s="397">
        <f>'Haver Pivoted'!GW47</f>
        <v>24.4</v>
      </c>
      <c r="M53" s="397">
        <f>'Haver Pivoted'!GX47</f>
        <v>10.8</v>
      </c>
      <c r="N53" s="915">
        <f>'Haver Pivoted'!GY47</f>
        <v>24.7</v>
      </c>
      <c r="O53" s="353">
        <f>N56*O55</f>
        <v>22.137795972560305</v>
      </c>
      <c r="P53" s="354">
        <f>O56*R47</f>
        <v>1.8499668068156667</v>
      </c>
      <c r="Q53" s="397"/>
      <c r="R53" s="397"/>
      <c r="S53" s="120"/>
      <c r="T53" s="120"/>
      <c r="U53" s="120"/>
      <c r="V53" s="120"/>
      <c r="W53" s="120"/>
      <c r="X53" s="120"/>
      <c r="Y53" s="120"/>
      <c r="Z53" s="120"/>
    </row>
    <row r="54" spans="7:26" ht="33.5" customHeight="1">
      <c r="H54" s="61" t="s">
        <v>1013</v>
      </c>
      <c r="I54" s="69" t="s">
        <v>245</v>
      </c>
      <c r="J54" s="930">
        <f>'Haver Pivoted'!GU49</f>
        <v>576.9</v>
      </c>
      <c r="K54" s="397">
        <f>'Haver Pivoted'!GV49</f>
        <v>819.5</v>
      </c>
      <c r="L54" s="397">
        <f>'Haver Pivoted'!GW49</f>
        <v>246.3</v>
      </c>
      <c r="M54" s="397">
        <f>'Haver Pivoted'!GX49</f>
        <v>184.6</v>
      </c>
      <c r="N54" s="915">
        <f>'Haver Pivoted'!GY49</f>
        <v>427.2</v>
      </c>
      <c r="O54" s="356">
        <f>O55-O53</f>
        <v>382.88528095051669</v>
      </c>
      <c r="P54" s="400">
        <f>R47-P53</f>
        <v>31.996187039338174</v>
      </c>
      <c r="Q54" s="397"/>
      <c r="R54" s="397"/>
      <c r="S54" s="120"/>
      <c r="T54" s="120"/>
      <c r="U54" s="120"/>
      <c r="V54" s="120"/>
      <c r="W54" s="120"/>
      <c r="X54" s="120"/>
      <c r="Y54" s="120"/>
      <c r="Z54" s="120"/>
    </row>
    <row r="55" spans="7:26">
      <c r="H55" s="46" t="s">
        <v>5</v>
      </c>
      <c r="I55" s="48"/>
      <c r="J55" s="930">
        <f>J54+J53</f>
        <v>634.1</v>
      </c>
      <c r="K55" s="397">
        <f t="shared" ref="K55:M55" si="26">K54+K53</f>
        <v>900.7</v>
      </c>
      <c r="L55" s="397">
        <f t="shared" si="26"/>
        <v>270.7</v>
      </c>
      <c r="M55" s="915">
        <f t="shared" si="26"/>
        <v>195.4</v>
      </c>
      <c r="N55" s="935">
        <f t="shared" ref="N55" si="27">N54+N53</f>
        <v>451.9</v>
      </c>
      <c r="O55" s="356">
        <f>Q47 + (P47-N55)</f>
        <v>405.02307692307699</v>
      </c>
      <c r="P55" s="400">
        <f t="shared" ref="P55" si="28">P54+P53</f>
        <v>33.84615384615384</v>
      </c>
      <c r="Q55" s="397"/>
      <c r="R55" s="397"/>
    </row>
    <row r="56" spans="7:26">
      <c r="H56" s="228" t="s">
        <v>571</v>
      </c>
      <c r="I56" s="196"/>
      <c r="J56" s="931">
        <f>J53/J55</f>
        <v>9.0206592020186091E-2</v>
      </c>
      <c r="K56" s="932">
        <f>K53/K55</f>
        <v>9.015210391917397E-2</v>
      </c>
      <c r="L56" s="932">
        <f>L53/L55</f>
        <v>9.0136682674547469E-2</v>
      </c>
      <c r="M56" s="933">
        <f>M53/M55</f>
        <v>5.527123848515865E-2</v>
      </c>
      <c r="N56" s="933">
        <f>N53/N55</f>
        <v>5.4658110201371984E-2</v>
      </c>
      <c r="O56" s="403">
        <f t="shared" ref="O56:P56" si="29">N56</f>
        <v>5.4658110201371984E-2</v>
      </c>
      <c r="P56" s="404">
        <f t="shared" si="29"/>
        <v>5.4658110201371984E-2</v>
      </c>
      <c r="Q56" s="405" t="s">
        <v>603</v>
      </c>
      <c r="R56" s="406"/>
    </row>
    <row r="57" spans="7:26">
      <c r="S57" s="37"/>
      <c r="T57" s="37"/>
    </row>
    <row r="58" spans="7:26">
      <c r="L58" s="37"/>
      <c r="M58" s="37"/>
      <c r="N58" s="37"/>
      <c r="O58" s="37"/>
      <c r="P58" s="37"/>
      <c r="Q58" s="37"/>
      <c r="R58" s="37"/>
      <c r="S58" s="37"/>
      <c r="T58" s="37"/>
      <c r="U58" s="37"/>
    </row>
    <row r="59" spans="7:26">
      <c r="G59" s="37"/>
      <c r="H59" s="137"/>
      <c r="I59" s="1082"/>
      <c r="J59" s="397"/>
      <c r="K59" s="397"/>
      <c r="L59" s="397"/>
      <c r="M59" s="397"/>
      <c r="N59" s="397"/>
      <c r="O59" s="397"/>
      <c r="P59" s="397"/>
      <c r="Q59" s="397"/>
      <c r="R59" s="397"/>
      <c r="S59" s="397"/>
      <c r="T59" s="37"/>
      <c r="U59" s="37"/>
    </row>
    <row r="60" spans="7:26">
      <c r="G60" s="37"/>
      <c r="H60" s="137"/>
      <c r="I60" s="73"/>
      <c r="J60" s="397"/>
      <c r="K60" s="397"/>
      <c r="L60" s="397"/>
      <c r="M60" s="397"/>
      <c r="N60" s="397"/>
      <c r="O60" s="397"/>
      <c r="P60" s="397"/>
      <c r="Q60" s="397"/>
      <c r="R60" s="397"/>
      <c r="S60" s="397"/>
      <c r="T60" s="37"/>
      <c r="U60" s="37"/>
    </row>
    <row r="61" spans="7:26">
      <c r="G61" s="37"/>
      <c r="H61" s="37"/>
      <c r="I61" s="1082"/>
      <c r="J61" s="397"/>
      <c r="K61" s="397"/>
      <c r="L61" s="397"/>
      <c r="M61" s="397"/>
      <c r="N61" s="397"/>
      <c r="O61" s="397"/>
      <c r="P61" s="397"/>
      <c r="Q61" s="397"/>
      <c r="R61" s="397"/>
      <c r="S61" s="397"/>
      <c r="T61" s="37"/>
      <c r="U61" s="37"/>
    </row>
    <row r="62" spans="7:26">
      <c r="G62" s="37"/>
      <c r="H62" s="37"/>
      <c r="I62" s="1082"/>
      <c r="J62" s="406"/>
      <c r="K62" s="406"/>
      <c r="L62" s="406"/>
      <c r="M62" s="406"/>
      <c r="N62" s="406"/>
      <c r="O62" s="406"/>
      <c r="P62" s="406"/>
      <c r="Q62" s="405"/>
      <c r="R62" s="406"/>
      <c r="S62" s="405"/>
      <c r="T62" s="37"/>
      <c r="U62" s="37"/>
    </row>
    <row r="63" spans="7:26">
      <c r="G63" s="37"/>
      <c r="H63" s="37"/>
      <c r="I63" s="37"/>
      <c r="J63" s="37"/>
      <c r="K63" s="37"/>
      <c r="L63" s="37"/>
      <c r="M63" s="37"/>
      <c r="N63" s="37"/>
      <c r="O63" s="37"/>
      <c r="P63" s="37"/>
      <c r="Q63" s="37"/>
      <c r="R63" s="37"/>
      <c r="S63" s="37"/>
      <c r="T63" s="37"/>
      <c r="U63" s="37"/>
    </row>
  </sheetData>
  <mergeCells count="11">
    <mergeCell ref="U51:X51"/>
    <mergeCell ref="H2:S5"/>
    <mergeCell ref="H1:S1"/>
    <mergeCell ref="L9:N9"/>
    <mergeCell ref="H50:I52"/>
    <mergeCell ref="J51:L51"/>
    <mergeCell ref="Q51:T51"/>
    <mergeCell ref="M51:N51"/>
    <mergeCell ref="O51:P51"/>
    <mergeCell ref="J50:N50"/>
    <mergeCell ref="O50:P50"/>
  </mergeCells>
  <phoneticPr fontId="53" type="noConversion"/>
  <hyperlinks>
    <hyperlink ref="H7" r:id="rId1" xr:uid="{5C343E26-19B3-4E85-9B31-AB85923D187B}"/>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D43B-7A5B-4ACC-ADAB-238377C9A39A}">
  <dimension ref="A1:CJ96"/>
  <sheetViews>
    <sheetView topLeftCell="B1" zoomScale="63" zoomScaleNormal="80" workbookViewId="0">
      <selection activeCell="O102" sqref="O102"/>
    </sheetView>
  </sheetViews>
  <sheetFormatPr baseColWidth="10" defaultColWidth="8.6640625" defaultRowHeight="14"/>
  <cols>
    <col min="1" max="1" width="8.6640625" style="120" customWidth="1"/>
    <col min="2" max="2" width="40.5" style="36" customWidth="1"/>
    <col min="3" max="3" width="7.1640625" style="36" customWidth="1"/>
    <col min="4" max="4" width="11.1640625" style="302" customWidth="1"/>
    <col min="5" max="5" width="12.33203125" style="302" customWidth="1"/>
    <col min="6" max="7" width="7.1640625" style="302" customWidth="1"/>
    <col min="8" max="8" width="10.33203125" style="36" customWidth="1"/>
    <col min="9" max="9" width="11.33203125" style="36" customWidth="1"/>
    <col min="10" max="13" width="7.6640625" style="36" customWidth="1"/>
    <col min="14" max="25" width="8.1640625" style="36" customWidth="1"/>
    <col min="26" max="29" width="8.1640625" style="302" customWidth="1"/>
    <col min="30" max="30" width="29.6640625" style="302" customWidth="1"/>
    <col min="31" max="31" width="31.1640625" style="302" customWidth="1"/>
    <col min="32" max="32" width="114.83203125" style="36" customWidth="1"/>
    <col min="33" max="16384" width="8.6640625" style="36"/>
  </cols>
  <sheetData>
    <row r="1" spans="1:88">
      <c r="B1" s="1372" t="s">
        <v>0</v>
      </c>
      <c r="C1" s="1372"/>
      <c r="D1" s="1372"/>
      <c r="E1" s="1372"/>
      <c r="F1" s="1372"/>
      <c r="G1" s="1372"/>
      <c r="H1" s="1372"/>
      <c r="I1" s="1372"/>
      <c r="J1" s="1372"/>
      <c r="K1" s="1372"/>
      <c r="L1" s="1372"/>
      <c r="M1" s="1372"/>
      <c r="N1" s="1372"/>
      <c r="O1" s="1372"/>
      <c r="P1" s="1372"/>
      <c r="Q1" s="1372"/>
      <c r="R1" s="1372"/>
      <c r="S1" s="1372"/>
      <c r="T1" s="1372"/>
      <c r="U1" s="1372"/>
      <c r="V1" s="1372"/>
      <c r="W1" s="1372"/>
      <c r="X1" s="1372"/>
      <c r="Y1" s="1372"/>
      <c r="Z1" s="834"/>
      <c r="AA1" s="890"/>
      <c r="AB1" s="890"/>
      <c r="AC1" s="890"/>
      <c r="AD1" s="674"/>
      <c r="AE1" s="674"/>
    </row>
    <row r="2" spans="1:88" ht="14" customHeight="1">
      <c r="B2" s="1397" t="s">
        <v>1010</v>
      </c>
      <c r="C2" s="1397"/>
      <c r="D2" s="1397"/>
      <c r="E2" s="1397"/>
      <c r="F2" s="1397"/>
      <c r="G2" s="1397"/>
      <c r="H2" s="1397"/>
      <c r="I2" s="1397"/>
      <c r="J2" s="1397"/>
      <c r="K2" s="1397"/>
      <c r="L2" s="1397"/>
      <c r="M2" s="1397"/>
      <c r="N2" s="1397"/>
      <c r="O2" s="1397"/>
      <c r="P2" s="1397"/>
      <c r="Q2" s="1397"/>
      <c r="R2" s="1397"/>
      <c r="S2" s="1397"/>
      <c r="T2" s="1397"/>
      <c r="U2" s="1397"/>
      <c r="V2" s="1397"/>
      <c r="W2" s="1397"/>
      <c r="X2" s="1397"/>
      <c r="Y2" s="1397"/>
      <c r="Z2" s="1397"/>
      <c r="AA2" s="1397"/>
      <c r="AB2" s="1397"/>
      <c r="AC2" s="1397"/>
      <c r="AD2" s="305"/>
      <c r="AE2" s="305"/>
    </row>
    <row r="3" spans="1:88" ht="50.5" customHeight="1">
      <c r="B3" s="1397"/>
      <c r="C3" s="1397"/>
      <c r="D3" s="1397"/>
      <c r="E3" s="1397"/>
      <c r="F3" s="1397"/>
      <c r="G3" s="1397"/>
      <c r="H3" s="1397"/>
      <c r="I3" s="1397"/>
      <c r="J3" s="1397"/>
      <c r="K3" s="1397"/>
      <c r="L3" s="1397"/>
      <c r="M3" s="1397"/>
      <c r="N3" s="1397"/>
      <c r="O3" s="1397"/>
      <c r="P3" s="1397"/>
      <c r="Q3" s="1397"/>
      <c r="R3" s="1397"/>
      <c r="S3" s="1397"/>
      <c r="T3" s="1397"/>
      <c r="U3" s="1397"/>
      <c r="V3" s="1397"/>
      <c r="W3" s="1397"/>
      <c r="X3" s="1397"/>
      <c r="Y3" s="1397"/>
      <c r="Z3" s="1397"/>
      <c r="AA3" s="1397"/>
      <c r="AB3" s="1397"/>
      <c r="AC3" s="1397"/>
      <c r="AD3" s="305"/>
      <c r="AE3" s="305"/>
    </row>
    <row r="4" spans="1:88" ht="5" customHeight="1">
      <c r="B4" s="1397"/>
      <c r="C4" s="1397"/>
      <c r="D4" s="1397"/>
      <c r="E4" s="1397"/>
      <c r="F4" s="1397"/>
      <c r="G4" s="1397"/>
      <c r="H4" s="1397"/>
      <c r="I4" s="1397"/>
      <c r="J4" s="1397"/>
      <c r="K4" s="1397"/>
      <c r="L4" s="1397"/>
      <c r="M4" s="1397"/>
      <c r="N4" s="1397"/>
      <c r="O4" s="1397"/>
      <c r="P4" s="1397"/>
      <c r="Q4" s="1397"/>
      <c r="R4" s="1397"/>
      <c r="S4" s="1397"/>
      <c r="T4" s="1397"/>
      <c r="U4" s="1397"/>
      <c r="V4" s="1397"/>
      <c r="W4" s="1397"/>
      <c r="X4" s="1397"/>
      <c r="Y4" s="1397"/>
      <c r="Z4" s="1397"/>
      <c r="AA4" s="1397"/>
      <c r="AB4" s="1397"/>
      <c r="AC4" s="1397"/>
      <c r="AD4" s="305"/>
      <c r="AE4" s="305"/>
    </row>
    <row r="5" spans="1:88" ht="15">
      <c r="B5" s="176" t="s">
        <v>399</v>
      </c>
    </row>
    <row r="6" spans="1:88" ht="14.5" customHeight="1">
      <c r="B6" s="1390" t="s">
        <v>357</v>
      </c>
      <c r="C6" s="1391"/>
      <c r="D6" s="1402" t="s">
        <v>261</v>
      </c>
      <c r="E6" s="1403"/>
      <c r="F6" s="1403"/>
      <c r="G6" s="1403"/>
      <c r="H6" s="1403"/>
      <c r="I6" s="1403"/>
      <c r="J6" s="1403"/>
      <c r="K6" s="1403"/>
      <c r="L6" s="1403"/>
      <c r="M6" s="1403"/>
      <c r="N6" s="1404"/>
      <c r="O6" s="1398" t="s">
        <v>143</v>
      </c>
      <c r="P6" s="1399"/>
      <c r="Q6" s="1399"/>
      <c r="R6" s="1399"/>
      <c r="S6" s="1399"/>
      <c r="T6" s="1399"/>
      <c r="U6" s="1399"/>
      <c r="V6" s="1399"/>
      <c r="W6" s="1399"/>
      <c r="X6" s="1399"/>
      <c r="Y6" s="1399"/>
      <c r="Z6" s="1399"/>
      <c r="AA6" s="1399"/>
      <c r="AB6" s="1399"/>
      <c r="AC6" s="1400"/>
      <c r="AD6" s="1409" t="s">
        <v>1008</v>
      </c>
      <c r="AE6" s="1412" t="s">
        <v>1007</v>
      </c>
    </row>
    <row r="7" spans="1:88" ht="24" customHeight="1">
      <c r="B7" s="1392"/>
      <c r="C7" s="1393"/>
      <c r="D7" s="838">
        <v>2018</v>
      </c>
      <c r="E7" s="1373">
        <v>2019</v>
      </c>
      <c r="F7" s="1374"/>
      <c r="G7" s="1374"/>
      <c r="H7" s="1383"/>
      <c r="I7" s="1373">
        <v>2020</v>
      </c>
      <c r="J7" s="1374"/>
      <c r="K7" s="1374"/>
      <c r="L7" s="1383"/>
      <c r="M7" s="1373">
        <v>2021</v>
      </c>
      <c r="N7" s="1383"/>
      <c r="O7" s="1396">
        <v>2021</v>
      </c>
      <c r="P7" s="1385"/>
      <c r="Q7" s="1396">
        <v>2022</v>
      </c>
      <c r="R7" s="1384"/>
      <c r="S7" s="1384"/>
      <c r="T7" s="1385"/>
      <c r="U7" s="1396">
        <v>2023</v>
      </c>
      <c r="V7" s="1384"/>
      <c r="W7" s="1384"/>
      <c r="X7" s="1401"/>
      <c r="Y7" s="1396">
        <v>2024</v>
      </c>
      <c r="Z7" s="1401"/>
      <c r="AA7" s="1401"/>
      <c r="AB7" s="1385"/>
      <c r="AC7" s="475">
        <v>2025</v>
      </c>
      <c r="AD7" s="1410"/>
      <c r="AE7" s="1413"/>
    </row>
    <row r="8" spans="1:88" ht="14" customHeight="1">
      <c r="B8" s="1394"/>
      <c r="C8" s="1395"/>
      <c r="D8" s="224" t="s">
        <v>138</v>
      </c>
      <c r="E8" s="224" t="s">
        <v>135</v>
      </c>
      <c r="F8" s="200" t="s">
        <v>136</v>
      </c>
      <c r="G8" s="200" t="s">
        <v>137</v>
      </c>
      <c r="H8" s="208" t="s">
        <v>138</v>
      </c>
      <c r="I8" s="201" t="s">
        <v>135</v>
      </c>
      <c r="J8" s="201" t="s">
        <v>136</v>
      </c>
      <c r="K8" s="201" t="s">
        <v>137</v>
      </c>
      <c r="L8" s="201" t="s">
        <v>138</v>
      </c>
      <c r="M8" s="216" t="s">
        <v>135</v>
      </c>
      <c r="N8" s="208" t="s">
        <v>136</v>
      </c>
      <c r="O8" s="843" t="s">
        <v>137</v>
      </c>
      <c r="P8" s="844" t="s">
        <v>138</v>
      </c>
      <c r="Q8" s="842" t="s">
        <v>135</v>
      </c>
      <c r="R8" s="843" t="s">
        <v>136</v>
      </c>
      <c r="S8" s="843" t="s">
        <v>137</v>
      </c>
      <c r="T8" s="843" t="s">
        <v>138</v>
      </c>
      <c r="U8" s="842" t="s">
        <v>135</v>
      </c>
      <c r="V8" s="843" t="s">
        <v>136</v>
      </c>
      <c r="W8" s="843" t="s">
        <v>137</v>
      </c>
      <c r="X8" s="843" t="s">
        <v>138</v>
      </c>
      <c r="Y8" s="891" t="s">
        <v>135</v>
      </c>
      <c r="Z8" s="577" t="s">
        <v>136</v>
      </c>
      <c r="AA8" s="892" t="s">
        <v>137</v>
      </c>
      <c r="AB8" s="893" t="s">
        <v>138</v>
      </c>
      <c r="AC8" s="82" t="s">
        <v>135</v>
      </c>
      <c r="AD8" s="1411"/>
      <c r="AE8" s="1414"/>
    </row>
    <row r="9" spans="1:88" ht="23.5" customHeight="1">
      <c r="B9" s="355" t="s">
        <v>558</v>
      </c>
      <c r="C9" s="1025" t="s">
        <v>228</v>
      </c>
      <c r="D9" s="1026"/>
      <c r="E9" s="1027"/>
      <c r="F9" s="1027"/>
      <c r="G9" s="1027"/>
      <c r="H9" s="367">
        <f>'Haver Pivoted'!GS32</f>
        <v>622.4</v>
      </c>
      <c r="I9" s="367">
        <f>'Haver Pivoted'!GT32</f>
        <v>640.6</v>
      </c>
      <c r="J9" s="367">
        <f>'Haver Pivoted'!GU32</f>
        <v>1400</v>
      </c>
      <c r="K9" s="367">
        <f>'Haver Pivoted'!GV32</f>
        <v>738.5</v>
      </c>
      <c r="L9" s="367">
        <f>'Haver Pivoted'!GW32</f>
        <v>743</v>
      </c>
      <c r="M9" s="367">
        <f>'Haver Pivoted'!GX32</f>
        <v>781.5</v>
      </c>
      <c r="N9" s="367">
        <f>'Haver Pivoted'!GY32</f>
        <v>1632.2</v>
      </c>
      <c r="O9" s="594">
        <f t="shared" ref="O9:AC9" si="0">O10+O11</f>
        <v>944.46461055451016</v>
      </c>
      <c r="P9" s="353">
        <f t="shared" si="0"/>
        <v>908.47034029952022</v>
      </c>
      <c r="Q9" s="353">
        <f t="shared" si="0"/>
        <v>1607.3389107853818</v>
      </c>
      <c r="R9" s="353">
        <f t="shared" si="0"/>
        <v>959.75066076692269</v>
      </c>
      <c r="S9" s="353">
        <f t="shared" si="0"/>
        <v>923.30045230200153</v>
      </c>
      <c r="T9" s="353">
        <f t="shared" si="0"/>
        <v>911.7731454335285</v>
      </c>
      <c r="U9" s="353">
        <f t="shared" si="0"/>
        <v>923.87321283960307</v>
      </c>
      <c r="V9" s="353">
        <f t="shared" si="0"/>
        <v>936.39625102095101</v>
      </c>
      <c r="W9" s="353">
        <f t="shared" si="0"/>
        <v>949.35899347545342</v>
      </c>
      <c r="X9" s="353">
        <f t="shared" si="0"/>
        <v>962.33393382450254</v>
      </c>
      <c r="Y9" s="353">
        <f t="shared" si="0"/>
        <v>972.95794819397713</v>
      </c>
      <c r="Z9" s="353">
        <f t="shared" si="0"/>
        <v>991.02957085768821</v>
      </c>
      <c r="AA9" s="353">
        <f t="shared" si="0"/>
        <v>1029.6076339755678</v>
      </c>
      <c r="AB9" s="353">
        <f t="shared" si="0"/>
        <v>1055.8773610050614</v>
      </c>
      <c r="AC9" s="559">
        <f t="shared" si="0"/>
        <v>1097.6544639102622</v>
      </c>
      <c r="AD9" s="934"/>
      <c r="AE9" s="687"/>
    </row>
    <row r="10" spans="1:88" s="93" customFormat="1" ht="30">
      <c r="A10" s="136"/>
      <c r="B10" s="166" t="s">
        <v>180</v>
      </c>
      <c r="C10" s="851" t="s">
        <v>236</v>
      </c>
      <c r="D10" s="161"/>
      <c r="E10" s="177"/>
      <c r="F10" s="177"/>
      <c r="G10" s="177"/>
      <c r="H10" s="904">
        <f>'Haver Pivoted'!GS40</f>
        <v>413.80599999999998</v>
      </c>
      <c r="I10" s="904">
        <f>'Haver Pivoted'!GT40</f>
        <v>428.11799999999999</v>
      </c>
      <c r="J10" s="904">
        <f>'Haver Pivoted'!GU40</f>
        <v>502.49</v>
      </c>
      <c r="K10" s="904">
        <f>'Haver Pivoted'!GV40</f>
        <v>481.71699999999998</v>
      </c>
      <c r="L10" s="904">
        <f>'Haver Pivoted'!GW40</f>
        <v>507.83699999999999</v>
      </c>
      <c r="M10" s="904">
        <f>'Haver Pivoted'!GX40</f>
        <v>511.34500000000003</v>
      </c>
      <c r="N10" s="904">
        <f>'Haver Pivoted'!GY40</f>
        <v>520.72900000000004</v>
      </c>
      <c r="O10" s="585">
        <f>Medicaid!K26</f>
        <v>539.89443411340733</v>
      </c>
      <c r="P10" s="586">
        <f>Medicaid!L26</f>
        <v>548.25542446994621</v>
      </c>
      <c r="Q10" s="586">
        <f>Medicaid!M26</f>
        <v>581.74898117976795</v>
      </c>
      <c r="R10" s="586">
        <f>Medicaid!N26</f>
        <v>590.75814540565545</v>
      </c>
      <c r="S10" s="586">
        <f>Medicaid!O26</f>
        <v>544.64732294282499</v>
      </c>
      <c r="T10" s="586">
        <f>Medicaid!P26</f>
        <v>543.73814293006001</v>
      </c>
      <c r="U10" s="586">
        <f>Medicaid!Q26</f>
        <v>545.38929023599587</v>
      </c>
      <c r="V10" s="586">
        <f>Medicaid!R26</f>
        <v>547.04545151319951</v>
      </c>
      <c r="W10" s="586">
        <f>Medicaid!S26</f>
        <v>548.70664198739189</v>
      </c>
      <c r="X10" s="586">
        <f>Medicaid!T26</f>
        <v>571.1859682769184</v>
      </c>
      <c r="Y10" s="586">
        <f>Medicaid!U26</f>
        <v>594.58622402448964</v>
      </c>
      <c r="Z10" s="586">
        <f>Medicaid!V26</f>
        <v>618.94513772142125</v>
      </c>
      <c r="AA10" s="586">
        <f>Medicaid!W26</f>
        <v>644.30198351385013</v>
      </c>
      <c r="AB10" s="586">
        <f>Medicaid!X26</f>
        <v>670.69764452487505</v>
      </c>
      <c r="AC10" s="587">
        <f>Medicaid!Y26</f>
        <v>698.17467877086835</v>
      </c>
      <c r="AD10" s="1028"/>
      <c r="AE10" s="688"/>
    </row>
    <row r="11" spans="1:88" s="93" customFormat="1" ht="17" customHeight="1">
      <c r="A11" s="136"/>
      <c r="B11" s="54" t="s">
        <v>350</v>
      </c>
      <c r="C11" s="851"/>
      <c r="D11" s="161"/>
      <c r="E11" s="177"/>
      <c r="F11" s="177"/>
      <c r="G11" s="177"/>
      <c r="H11" s="904">
        <f>H9-H10</f>
        <v>208.59399999999999</v>
      </c>
      <c r="I11" s="904">
        <f t="shared" ref="I11:N11" si="1">I9-I10</f>
        <v>212.48200000000003</v>
      </c>
      <c r="J11" s="904">
        <f t="shared" si="1"/>
        <v>897.51</v>
      </c>
      <c r="K11" s="904">
        <f t="shared" si="1"/>
        <v>256.78300000000002</v>
      </c>
      <c r="L11" s="904">
        <f t="shared" si="1"/>
        <v>235.16300000000001</v>
      </c>
      <c r="M11" s="904">
        <f t="shared" si="1"/>
        <v>270.15499999999997</v>
      </c>
      <c r="N11" s="904">
        <f t="shared" si="1"/>
        <v>1111.471</v>
      </c>
      <c r="O11" s="585">
        <f t="shared" ref="O11:AC11" si="2">SUM(O12:O20)</f>
        <v>404.57017644110283</v>
      </c>
      <c r="P11" s="586">
        <f t="shared" si="2"/>
        <v>360.21491582957401</v>
      </c>
      <c r="Q11" s="586">
        <f t="shared" si="2"/>
        <v>1025.5899296056139</v>
      </c>
      <c r="R11" s="586">
        <f t="shared" si="2"/>
        <v>368.99251536126724</v>
      </c>
      <c r="S11" s="586">
        <f t="shared" si="2"/>
        <v>378.6531293591766</v>
      </c>
      <c r="T11" s="586">
        <f t="shared" si="2"/>
        <v>368.03500250346843</v>
      </c>
      <c r="U11" s="586">
        <f t="shared" si="2"/>
        <v>378.4839226036072</v>
      </c>
      <c r="V11" s="586">
        <f t="shared" si="2"/>
        <v>389.3507995077515</v>
      </c>
      <c r="W11" s="586">
        <f t="shared" si="2"/>
        <v>400.65235148806158</v>
      </c>
      <c r="X11" s="586">
        <f t="shared" si="2"/>
        <v>391.14796554758408</v>
      </c>
      <c r="Y11" s="586">
        <f t="shared" si="2"/>
        <v>378.37172416948749</v>
      </c>
      <c r="Z11" s="586">
        <f t="shared" si="2"/>
        <v>372.08443313626697</v>
      </c>
      <c r="AA11" s="586">
        <f t="shared" si="2"/>
        <v>385.30565046171773</v>
      </c>
      <c r="AB11" s="586">
        <f t="shared" si="2"/>
        <v>385.17971648018641</v>
      </c>
      <c r="AC11" s="587">
        <f t="shared" si="2"/>
        <v>399.47978513939387</v>
      </c>
      <c r="AD11" s="1028"/>
      <c r="AE11" s="688"/>
    </row>
    <row r="12" spans="1:88" s="93" customFormat="1" ht="16" customHeight="1">
      <c r="A12" s="136"/>
      <c r="B12" s="94" t="s">
        <v>289</v>
      </c>
      <c r="C12" s="362" t="s">
        <v>1</v>
      </c>
      <c r="D12" s="950"/>
      <c r="E12" s="905"/>
      <c r="F12" s="905"/>
      <c r="G12" s="905"/>
      <c r="H12" s="368"/>
      <c r="I12" s="368"/>
      <c r="J12" s="368">
        <f>'Haver Pivoted'!GU56</f>
        <v>597.9</v>
      </c>
      <c r="K12" s="368"/>
      <c r="L12" s="368"/>
      <c r="M12" s="368"/>
      <c r="N12" s="368"/>
      <c r="O12" s="585">
        <v>0</v>
      </c>
      <c r="P12" s="586">
        <v>0</v>
      </c>
      <c r="Q12" s="586">
        <v>0</v>
      </c>
      <c r="R12" s="586">
        <v>0</v>
      </c>
      <c r="S12" s="586">
        <v>0</v>
      </c>
      <c r="T12" s="586">
        <v>0</v>
      </c>
      <c r="U12" s="586">
        <v>0</v>
      </c>
      <c r="V12" s="586">
        <v>0</v>
      </c>
      <c r="W12" s="586">
        <v>0</v>
      </c>
      <c r="X12" s="586">
        <v>0</v>
      </c>
      <c r="Y12" s="586">
        <v>0</v>
      </c>
      <c r="Z12" s="586">
        <v>0</v>
      </c>
      <c r="AA12" s="586">
        <v>0</v>
      </c>
      <c r="AB12" s="586">
        <v>0</v>
      </c>
      <c r="AC12" s="587">
        <v>0</v>
      </c>
      <c r="AD12" s="1028">
        <f>SUM(I12:Y12)/4</f>
        <v>149.47499999999999</v>
      </c>
      <c r="AE12" s="688">
        <f>AD25</f>
        <v>150</v>
      </c>
    </row>
    <row r="13" spans="1:88" s="93" customFormat="1" ht="15">
      <c r="A13" s="136"/>
      <c r="B13" s="94" t="s">
        <v>290</v>
      </c>
      <c r="C13" s="362" t="s">
        <v>2</v>
      </c>
      <c r="D13" s="950"/>
      <c r="E13" s="905"/>
      <c r="F13" s="905"/>
      <c r="G13" s="905"/>
      <c r="H13" s="368"/>
      <c r="I13" s="368"/>
      <c r="J13" s="368">
        <f>'Haver Pivoted'!GU57</f>
        <v>28.4</v>
      </c>
      <c r="K13" s="368">
        <f>'Haver Pivoted'!GV57</f>
        <v>15.8</v>
      </c>
      <c r="L13" s="368">
        <f>'Haver Pivoted'!GW57</f>
        <v>15.2</v>
      </c>
      <c r="M13" s="368">
        <f>'Haver Pivoted'!GX57</f>
        <v>28.9</v>
      </c>
      <c r="N13" s="368">
        <f>'Haver Pivoted'!GY57</f>
        <v>67.599999999999994</v>
      </c>
      <c r="O13" s="585">
        <f t="shared" ref="O13:AC13" si="3">O26+O30+O36</f>
        <v>62.027333333333303</v>
      </c>
      <c r="P13" s="586">
        <f t="shared" si="3"/>
        <v>74.123333333333335</v>
      </c>
      <c r="Q13" s="586">
        <f t="shared" si="3"/>
        <v>69.123333333333306</v>
      </c>
      <c r="R13" s="586">
        <f t="shared" si="3"/>
        <v>69.123333333333306</v>
      </c>
      <c r="S13" s="586">
        <f t="shared" si="3"/>
        <v>69.123333333333306</v>
      </c>
      <c r="T13" s="586">
        <f t="shared" si="3"/>
        <v>60.929333333333297</v>
      </c>
      <c r="U13" s="586">
        <f t="shared" si="3"/>
        <v>60.929333333333297</v>
      </c>
      <c r="V13" s="586">
        <f t="shared" si="3"/>
        <v>60.929333333333297</v>
      </c>
      <c r="W13" s="586">
        <f t="shared" si="3"/>
        <v>60.929333333333297</v>
      </c>
      <c r="X13" s="586">
        <f t="shared" si="3"/>
        <v>54.244333333333302</v>
      </c>
      <c r="Y13" s="586">
        <f t="shared" si="3"/>
        <v>50.911000000000001</v>
      </c>
      <c r="Z13" s="586">
        <f t="shared" si="3"/>
        <v>31.911000000000001</v>
      </c>
      <c r="AA13" s="586">
        <f t="shared" si="3"/>
        <v>31.911000000000001</v>
      </c>
      <c r="AB13" s="586">
        <f t="shared" si="3"/>
        <v>23.099</v>
      </c>
      <c r="AC13" s="587">
        <f t="shared" si="3"/>
        <v>23.099</v>
      </c>
      <c r="AD13" s="1028">
        <f t="shared" ref="AD13:AD19" si="4">SUM(I13:Y13)/4</f>
        <v>212.07333333333327</v>
      </c>
      <c r="AE13" s="688">
        <f>AD26+AD30+AD36</f>
        <v>218.26349999999994</v>
      </c>
    </row>
    <row r="14" spans="1:88" s="93" customFormat="1" ht="15">
      <c r="A14" s="136"/>
      <c r="B14" s="95" t="s">
        <v>291</v>
      </c>
      <c r="C14" s="117" t="s">
        <v>3</v>
      </c>
      <c r="D14" s="949"/>
      <c r="E14" s="903"/>
      <c r="F14" s="903"/>
      <c r="G14" s="903"/>
      <c r="H14" s="368"/>
      <c r="I14" s="368"/>
      <c r="J14" s="368">
        <f>'Haver Pivoted'!GU58</f>
        <v>64.400000000000006</v>
      </c>
      <c r="K14" s="368">
        <f>'Haver Pivoted'!GV58</f>
        <v>23.4</v>
      </c>
      <c r="L14" s="368">
        <f>'Haver Pivoted'!GW58</f>
        <v>13.8</v>
      </c>
      <c r="M14" s="368">
        <f>'Haver Pivoted'!GX58</f>
        <v>17.100000000000001</v>
      </c>
      <c r="N14" s="368">
        <f>'Haver Pivoted'!GY58</f>
        <v>10.6</v>
      </c>
      <c r="O14" s="585">
        <f>'Provider Relief'!O12</f>
        <v>6.9139097744360907</v>
      </c>
      <c r="P14" s="586">
        <f>'Provider Relief'!P12</f>
        <v>5.4593984962406008</v>
      </c>
      <c r="Q14" s="586">
        <f>'Provider Relief'!Q12</f>
        <v>4.6026315789473689</v>
      </c>
      <c r="R14" s="586">
        <f>'Provider Relief'!R12</f>
        <v>1.0161654135338345</v>
      </c>
      <c r="S14" s="586">
        <f>'Provider Relief'!S12</f>
        <v>1.0161654135338345</v>
      </c>
      <c r="T14" s="586">
        <f>'Provider Relief'!T12</f>
        <v>0</v>
      </c>
      <c r="U14" s="586">
        <f>'Provider Relief'!U12</f>
        <v>0</v>
      </c>
      <c r="V14" s="586">
        <f>'Provider Relief'!V12</f>
        <v>0</v>
      </c>
      <c r="W14" s="586">
        <f>'Provider Relief'!W12</f>
        <v>0</v>
      </c>
      <c r="X14" s="586">
        <f>'Provider Relief'!X12</f>
        <v>0</v>
      </c>
      <c r="Y14" s="586">
        <f>'Provider Relief'!Y12</f>
        <v>0</v>
      </c>
      <c r="Z14" s="586">
        <f>'Provider Relief'!Z12</f>
        <v>0</v>
      </c>
      <c r="AA14" s="586">
        <f>'Provider Relief'!AA12</f>
        <v>0</v>
      </c>
      <c r="AB14" s="586">
        <f>'Provider Relief'!AB12</f>
        <v>0</v>
      </c>
      <c r="AC14" s="587">
        <f>'Provider Relief'!AC12</f>
        <v>0</v>
      </c>
      <c r="AD14" s="1028">
        <f t="shared" si="4"/>
        <v>37.077067669172934</v>
      </c>
      <c r="AE14" s="688">
        <f>AD27+AD31+AD37</f>
        <v>34.125000000000007</v>
      </c>
    </row>
    <row r="15" spans="1:88" s="93" customFormat="1" ht="15.5" customHeight="1">
      <c r="A15" s="136"/>
      <c r="B15" s="95" t="s">
        <v>288</v>
      </c>
      <c r="C15" s="117"/>
      <c r="D15" s="949"/>
      <c r="E15" s="903"/>
      <c r="F15" s="903"/>
      <c r="G15" s="903"/>
      <c r="H15" s="368"/>
      <c r="I15" s="368"/>
      <c r="J15" s="368"/>
      <c r="K15" s="368"/>
      <c r="L15" s="368"/>
      <c r="M15" s="368">
        <f>M29</f>
        <v>9.6666666666666661</v>
      </c>
      <c r="N15" s="135">
        <f t="shared" ref="N15:AC15" si="5">N29</f>
        <v>9.6666666666666661</v>
      </c>
      <c r="O15" s="585">
        <f t="shared" si="5"/>
        <v>9.6666666666666661</v>
      </c>
      <c r="P15" s="586">
        <f t="shared" si="5"/>
        <v>9.6666666666666661</v>
      </c>
      <c r="Q15" s="586">
        <f t="shared" si="5"/>
        <v>9.6666666666666661</v>
      </c>
      <c r="R15" s="586">
        <f t="shared" si="5"/>
        <v>9.6666666666666661</v>
      </c>
      <c r="S15" s="586">
        <f t="shared" si="5"/>
        <v>9.6666666666666661</v>
      </c>
      <c r="T15" s="586">
        <f t="shared" si="5"/>
        <v>9.6666666666666661</v>
      </c>
      <c r="U15" s="586">
        <f t="shared" si="5"/>
        <v>9.6666666666666661</v>
      </c>
      <c r="V15" s="586">
        <f t="shared" si="5"/>
        <v>9.6666666666666661</v>
      </c>
      <c r="W15" s="586">
        <f t="shared" si="5"/>
        <v>9.6666666666666661</v>
      </c>
      <c r="X15" s="586">
        <f t="shared" si="5"/>
        <v>9.6666666666666661</v>
      </c>
      <c r="Y15" s="586">
        <f t="shared" si="5"/>
        <v>0</v>
      </c>
      <c r="Z15" s="586">
        <f t="shared" si="5"/>
        <v>0</v>
      </c>
      <c r="AA15" s="586">
        <f t="shared" si="5"/>
        <v>0</v>
      </c>
      <c r="AB15" s="586">
        <f t="shared" si="5"/>
        <v>0</v>
      </c>
      <c r="AC15" s="587">
        <f t="shared" si="5"/>
        <v>0</v>
      </c>
      <c r="AD15" s="1028">
        <f t="shared" si="4"/>
        <v>29.000000000000004</v>
      </c>
      <c r="AE15" s="689">
        <f>AD29</f>
        <v>29.000000000000004</v>
      </c>
      <c r="AF15" s="138" t="s">
        <v>398</v>
      </c>
      <c r="AG15" s="138"/>
      <c r="AH15" s="138"/>
      <c r="AI15" s="99"/>
      <c r="AJ15" s="99"/>
      <c r="AK15" s="99"/>
      <c r="AL15" s="99"/>
      <c r="AM15" s="99"/>
      <c r="AN15" s="99"/>
      <c r="AO15" s="99"/>
      <c r="AP15" s="99"/>
      <c r="AQ15" s="99"/>
      <c r="AR15" s="99"/>
      <c r="AS15" s="99"/>
      <c r="AT15" s="99"/>
      <c r="AU15" s="99"/>
      <c r="AV15" s="99"/>
      <c r="AW15" s="99"/>
      <c r="AX15" s="99"/>
      <c r="AY15" s="99"/>
      <c r="AZ15" s="99"/>
      <c r="BA15" s="99"/>
      <c r="BB15" s="99"/>
      <c r="BC15" s="99"/>
      <c r="BD15" s="99"/>
      <c r="BE15" s="99"/>
      <c r="BF15" s="99"/>
      <c r="BG15" s="99"/>
      <c r="BH15" s="99"/>
      <c r="BI15" s="99"/>
      <c r="BJ15" s="99"/>
      <c r="BK15" s="99"/>
      <c r="BL15" s="99"/>
      <c r="BM15" s="99"/>
      <c r="BN15" s="99"/>
      <c r="BO15" s="99"/>
      <c r="BP15" s="99"/>
      <c r="BQ15" s="99"/>
      <c r="BR15" s="99"/>
      <c r="BS15" s="99"/>
      <c r="BT15" s="99"/>
      <c r="BU15" s="99"/>
      <c r="BV15" s="99"/>
      <c r="BW15" s="99"/>
      <c r="BX15" s="99"/>
      <c r="BY15" s="99"/>
      <c r="BZ15" s="99"/>
      <c r="CA15" s="99"/>
      <c r="CB15" s="99"/>
      <c r="CC15" s="99"/>
      <c r="CD15" s="99"/>
      <c r="CE15" s="99"/>
      <c r="CF15" s="99"/>
      <c r="CG15" s="99"/>
      <c r="CH15" s="99"/>
      <c r="CI15" s="99"/>
      <c r="CJ15" s="99"/>
    </row>
    <row r="16" spans="1:88" s="93" customFormat="1" ht="31" customHeight="1">
      <c r="A16" s="136"/>
      <c r="B16" s="95" t="s">
        <v>713</v>
      </c>
      <c r="C16" s="117"/>
      <c r="D16" s="949"/>
      <c r="E16" s="903"/>
      <c r="F16" s="903"/>
      <c r="G16" s="903"/>
      <c r="H16" s="368"/>
      <c r="I16" s="368"/>
      <c r="J16" s="368"/>
      <c r="K16" s="368"/>
      <c r="L16" s="368"/>
      <c r="M16" s="368">
        <f>M33+M32</f>
        <v>12</v>
      </c>
      <c r="N16" s="135">
        <f>N33+N32</f>
        <v>12</v>
      </c>
      <c r="O16" s="585">
        <f t="shared" ref="O16:AC16" si="6">O33+O32</f>
        <v>12</v>
      </c>
      <c r="P16" s="586">
        <f t="shared" si="6"/>
        <v>12</v>
      </c>
      <c r="Q16" s="586">
        <f t="shared" si="6"/>
        <v>12</v>
      </c>
      <c r="R16" s="586">
        <f t="shared" si="6"/>
        <v>12</v>
      </c>
      <c r="S16" s="586">
        <f t="shared" si="6"/>
        <v>12</v>
      </c>
      <c r="T16" s="586">
        <f t="shared" si="6"/>
        <v>12</v>
      </c>
      <c r="U16" s="586">
        <f t="shared" si="6"/>
        <v>12</v>
      </c>
      <c r="V16" s="586">
        <f t="shared" si="6"/>
        <v>12</v>
      </c>
      <c r="W16" s="586">
        <f t="shared" si="6"/>
        <v>12</v>
      </c>
      <c r="X16" s="586">
        <f t="shared" si="6"/>
        <v>12</v>
      </c>
      <c r="Y16" s="586">
        <f t="shared" si="6"/>
        <v>0</v>
      </c>
      <c r="Z16" s="586">
        <f t="shared" si="6"/>
        <v>0</v>
      </c>
      <c r="AA16" s="586">
        <f t="shared" si="6"/>
        <v>0</v>
      </c>
      <c r="AB16" s="586">
        <f t="shared" si="6"/>
        <v>0</v>
      </c>
      <c r="AC16" s="587">
        <f t="shared" si="6"/>
        <v>0</v>
      </c>
      <c r="AD16" s="1028">
        <f t="shared" si="4"/>
        <v>36</v>
      </c>
      <c r="AE16" s="688">
        <f>SUM(AD32:AD33)+AD38</f>
        <v>130.3365</v>
      </c>
      <c r="AF16" s="138" t="s">
        <v>397</v>
      </c>
      <c r="AG16" s="138"/>
      <c r="AH16" s="138"/>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99"/>
      <c r="BM16" s="99"/>
      <c r="BN16" s="99"/>
      <c r="BO16" s="99"/>
      <c r="BP16" s="99"/>
      <c r="BQ16" s="99"/>
      <c r="BR16" s="99"/>
      <c r="BS16" s="99"/>
      <c r="BT16" s="99"/>
      <c r="BU16" s="99"/>
      <c r="BV16" s="99"/>
      <c r="BW16" s="99"/>
      <c r="BX16" s="99"/>
      <c r="BY16" s="99"/>
      <c r="BZ16" s="99"/>
      <c r="CA16" s="99"/>
      <c r="CB16" s="99"/>
      <c r="CC16" s="99"/>
      <c r="CD16" s="99"/>
      <c r="CE16" s="99"/>
      <c r="CF16" s="99"/>
      <c r="CG16" s="99"/>
      <c r="CH16" s="99"/>
      <c r="CI16" s="99"/>
      <c r="CJ16" s="99"/>
    </row>
    <row r="17" spans="1:88" s="610" customFormat="1" ht="15">
      <c r="A17" s="136"/>
      <c r="B17" s="95" t="s">
        <v>715</v>
      </c>
      <c r="C17" s="117"/>
      <c r="D17" s="949"/>
      <c r="E17" s="903"/>
      <c r="F17" s="903"/>
      <c r="G17" s="903"/>
      <c r="H17" s="368"/>
      <c r="I17" s="368"/>
      <c r="J17" s="368"/>
      <c r="K17" s="368"/>
      <c r="L17" s="368"/>
      <c r="M17" s="368"/>
      <c r="N17" s="135">
        <f>N38</f>
        <v>59.256</v>
      </c>
      <c r="O17" s="585">
        <f t="shared" ref="O17:AC17" si="7">O38</f>
        <v>59.256</v>
      </c>
      <c r="P17" s="586">
        <f t="shared" si="7"/>
        <v>35.671000000000006</v>
      </c>
      <c r="Q17" s="586">
        <f t="shared" si="7"/>
        <v>35.671000000000006</v>
      </c>
      <c r="R17" s="586">
        <f t="shared" si="7"/>
        <v>35.671000000000006</v>
      </c>
      <c r="S17" s="586">
        <f t="shared" si="7"/>
        <v>35.671000000000006</v>
      </c>
      <c r="T17" s="586">
        <f t="shared" si="7"/>
        <v>24.216000000000001</v>
      </c>
      <c r="U17" s="586">
        <f t="shared" si="7"/>
        <v>24.216000000000001</v>
      </c>
      <c r="V17" s="586">
        <f t="shared" si="7"/>
        <v>24.216000000000001</v>
      </c>
      <c r="W17" s="586">
        <f t="shared" si="7"/>
        <v>24.216000000000001</v>
      </c>
      <c r="X17" s="586">
        <f t="shared" si="7"/>
        <v>9.6430000000000007</v>
      </c>
      <c r="Y17" s="586">
        <f t="shared" si="7"/>
        <v>9.6430000000000007</v>
      </c>
      <c r="Z17" s="586">
        <f t="shared" si="7"/>
        <v>9.6430000000000007</v>
      </c>
      <c r="AA17" s="586">
        <f t="shared" si="7"/>
        <v>9.6430000000000007</v>
      </c>
      <c r="AB17" s="586">
        <f t="shared" si="7"/>
        <v>4.5789999999999997</v>
      </c>
      <c r="AC17" s="587">
        <f t="shared" si="7"/>
        <v>4.5789999999999997</v>
      </c>
      <c r="AD17" s="1028">
        <f t="shared" si="4"/>
        <v>94.336500000000001</v>
      </c>
      <c r="AE17" s="688"/>
      <c r="AF17" s="138"/>
      <c r="AG17" s="138"/>
      <c r="AH17" s="138"/>
      <c r="AI17" s="99"/>
      <c r="AJ17" s="99"/>
      <c r="AK17" s="99"/>
      <c r="AL17" s="99"/>
      <c r="AM17" s="99"/>
      <c r="AN17" s="99"/>
      <c r="AO17" s="99"/>
      <c r="AP17" s="99"/>
      <c r="AQ17" s="99"/>
      <c r="AR17" s="99"/>
      <c r="AS17" s="99"/>
      <c r="AT17" s="99"/>
      <c r="AU17" s="99"/>
      <c r="AV17" s="99"/>
      <c r="AW17" s="99"/>
      <c r="AX17" s="99"/>
      <c r="AY17" s="99"/>
      <c r="AZ17" s="99"/>
      <c r="BA17" s="99"/>
      <c r="BB17" s="99"/>
      <c r="BC17" s="99"/>
      <c r="BD17" s="99"/>
      <c r="BE17" s="99"/>
      <c r="BF17" s="99"/>
      <c r="BG17" s="99"/>
      <c r="BH17" s="99"/>
      <c r="BI17" s="99"/>
      <c r="BJ17" s="99"/>
      <c r="BK17" s="99"/>
      <c r="BL17" s="99"/>
      <c r="BM17" s="99"/>
      <c r="BN17" s="99"/>
      <c r="BO17" s="99"/>
      <c r="BP17" s="99"/>
      <c r="BQ17" s="99"/>
      <c r="BR17" s="99"/>
      <c r="BS17" s="99"/>
      <c r="BT17" s="99"/>
      <c r="BU17" s="99"/>
      <c r="BV17" s="99"/>
      <c r="BW17" s="99"/>
      <c r="BX17" s="99"/>
      <c r="BY17" s="99"/>
      <c r="BZ17" s="99"/>
      <c r="CA17" s="99"/>
      <c r="CB17" s="99"/>
      <c r="CC17" s="99"/>
      <c r="CD17" s="99"/>
      <c r="CE17" s="99"/>
      <c r="CF17" s="99"/>
      <c r="CG17" s="99"/>
      <c r="CH17" s="99"/>
      <c r="CI17" s="99"/>
      <c r="CJ17" s="99"/>
    </row>
    <row r="18" spans="1:88" s="610" customFormat="1" ht="30">
      <c r="A18" s="136"/>
      <c r="B18" s="1085" t="s">
        <v>1171</v>
      </c>
      <c r="C18" s="117"/>
      <c r="D18" s="949"/>
      <c r="E18" s="903"/>
      <c r="F18" s="903"/>
      <c r="G18" s="903"/>
      <c r="H18" s="368"/>
      <c r="I18" s="368"/>
      <c r="J18" s="368"/>
      <c r="K18" s="368"/>
      <c r="L18" s="368"/>
      <c r="M18" s="368"/>
      <c r="N18" s="135">
        <v>-40</v>
      </c>
      <c r="O18" s="585">
        <v>40</v>
      </c>
      <c r="P18" s="586"/>
      <c r="Q18" s="586"/>
      <c r="R18" s="586"/>
      <c r="S18" s="586"/>
      <c r="T18" s="586"/>
      <c r="U18" s="586"/>
      <c r="V18" s="586"/>
      <c r="W18" s="586"/>
      <c r="X18" s="586"/>
      <c r="Y18" s="586"/>
      <c r="Z18" s="586"/>
      <c r="AA18" s="586"/>
      <c r="AB18" s="586"/>
      <c r="AC18" s="587"/>
      <c r="AD18" s="1028"/>
      <c r="AE18" s="688"/>
      <c r="AF18" s="138"/>
      <c r="AG18" s="138"/>
      <c r="AH18" s="138"/>
      <c r="AI18" s="99"/>
      <c r="AJ18" s="99"/>
      <c r="AK18" s="99"/>
      <c r="AL18" s="99"/>
      <c r="AM18" s="99"/>
      <c r="AN18" s="99"/>
      <c r="AO18" s="99"/>
      <c r="AP18" s="99"/>
      <c r="AQ18" s="99"/>
      <c r="AR18" s="99"/>
      <c r="AS18" s="99"/>
      <c r="AT18" s="99"/>
      <c r="AU18" s="99"/>
      <c r="AV18" s="99"/>
      <c r="AW18" s="99"/>
      <c r="AX18" s="99"/>
      <c r="AY18" s="99"/>
      <c r="AZ18" s="99"/>
      <c r="BA18" s="99"/>
      <c r="BB18" s="99"/>
      <c r="BC18" s="99"/>
      <c r="BD18" s="99"/>
      <c r="BE18" s="99"/>
      <c r="BF18" s="99"/>
      <c r="BG18" s="99"/>
      <c r="BH18" s="99"/>
      <c r="BI18" s="99"/>
      <c r="BJ18" s="99"/>
      <c r="BK18" s="99"/>
      <c r="BL18" s="99"/>
      <c r="BM18" s="99"/>
      <c r="BN18" s="99"/>
      <c r="BO18" s="99"/>
      <c r="BP18" s="99"/>
      <c r="BQ18" s="99"/>
      <c r="BR18" s="99"/>
      <c r="BS18" s="99"/>
      <c r="BT18" s="99"/>
      <c r="BU18" s="99"/>
      <c r="BV18" s="99"/>
      <c r="BW18" s="99"/>
      <c r="BX18" s="99"/>
      <c r="BY18" s="99"/>
      <c r="BZ18" s="99"/>
      <c r="CA18" s="99"/>
      <c r="CB18" s="99"/>
      <c r="CC18" s="99"/>
      <c r="CD18" s="99"/>
      <c r="CE18" s="99"/>
      <c r="CF18" s="99"/>
      <c r="CG18" s="99"/>
      <c r="CH18" s="99"/>
      <c r="CI18" s="99"/>
      <c r="CJ18" s="99"/>
    </row>
    <row r="19" spans="1:88" s="93" customFormat="1" ht="15.5" customHeight="1">
      <c r="A19" s="136"/>
      <c r="B19" s="94" t="s">
        <v>367</v>
      </c>
      <c r="C19" s="362" t="s">
        <v>1170</v>
      </c>
      <c r="D19" s="949"/>
      <c r="E19" s="903"/>
      <c r="F19" s="903"/>
      <c r="G19" s="903"/>
      <c r="H19" s="368"/>
      <c r="I19" s="368"/>
      <c r="J19" s="368"/>
      <c r="K19" s="368">
        <f>'Haver Pivoted'!GV56</f>
        <v>0</v>
      </c>
      <c r="L19" s="368">
        <f>'Haver Pivoted'!GW56</f>
        <v>0</v>
      </c>
      <c r="M19" s="368">
        <f>'Haver Pivoted'!GX56</f>
        <v>0</v>
      </c>
      <c r="N19" s="368">
        <f>'Haver Pivoted'!GY56</f>
        <v>785.9</v>
      </c>
      <c r="O19" s="1032">
        <f t="shared" ref="O19:AC19" si="8">O35</f>
        <v>0</v>
      </c>
      <c r="P19" s="86">
        <f t="shared" si="8"/>
        <v>0</v>
      </c>
      <c r="Q19" s="86">
        <f>4*AE19-N19</f>
        <v>662.29999999999984</v>
      </c>
      <c r="R19" s="86">
        <f t="shared" si="8"/>
        <v>0</v>
      </c>
      <c r="S19" s="86">
        <f t="shared" si="8"/>
        <v>0</v>
      </c>
      <c r="T19" s="86">
        <f t="shared" si="8"/>
        <v>0</v>
      </c>
      <c r="U19" s="86">
        <f t="shared" si="8"/>
        <v>0</v>
      </c>
      <c r="V19" s="86">
        <f t="shared" si="8"/>
        <v>0</v>
      </c>
      <c r="W19" s="86">
        <f t="shared" si="8"/>
        <v>0</v>
      </c>
      <c r="X19" s="86">
        <f t="shared" si="8"/>
        <v>0</v>
      </c>
      <c r="Y19" s="86">
        <f t="shared" si="8"/>
        <v>0</v>
      </c>
      <c r="Z19" s="86">
        <f t="shared" si="8"/>
        <v>0</v>
      </c>
      <c r="AA19" s="86">
        <f t="shared" si="8"/>
        <v>0</v>
      </c>
      <c r="AB19" s="86">
        <f t="shared" si="8"/>
        <v>0</v>
      </c>
      <c r="AC19" s="87">
        <f t="shared" si="8"/>
        <v>0</v>
      </c>
      <c r="AD19" s="1028">
        <f t="shared" si="4"/>
        <v>362.04999999999995</v>
      </c>
      <c r="AE19" s="688">
        <f>AD35</f>
        <v>362.04999999999995</v>
      </c>
      <c r="AF19" s="169"/>
      <c r="AH19" s="138"/>
      <c r="AI19" s="99"/>
      <c r="AJ19" s="99"/>
      <c r="AK19" s="99"/>
      <c r="AL19" s="99"/>
      <c r="AM19" s="99"/>
      <c r="AN19" s="99"/>
      <c r="AO19" s="99"/>
      <c r="AP19" s="99"/>
      <c r="AQ19" s="99"/>
      <c r="AR19" s="99"/>
      <c r="AS19" s="99"/>
      <c r="AT19" s="99"/>
      <c r="AU19" s="99"/>
      <c r="AV19" s="99"/>
      <c r="AW19" s="99"/>
      <c r="AX19" s="99"/>
      <c r="AY19" s="99"/>
      <c r="AZ19" s="99"/>
      <c r="BA19" s="99"/>
      <c r="BB19" s="99"/>
      <c r="BC19" s="99"/>
      <c r="BD19" s="99"/>
      <c r="BE19" s="99"/>
      <c r="BF19" s="99"/>
      <c r="BG19" s="99"/>
      <c r="BH19" s="99"/>
      <c r="BI19" s="99"/>
      <c r="BJ19" s="99"/>
      <c r="BK19" s="99"/>
      <c r="BL19" s="99"/>
      <c r="BM19" s="99"/>
      <c r="BN19" s="99"/>
      <c r="BO19" s="99"/>
      <c r="BP19" s="99"/>
      <c r="BQ19" s="99"/>
      <c r="BR19" s="99"/>
      <c r="BS19" s="99"/>
      <c r="BT19" s="99"/>
      <c r="BU19" s="99"/>
      <c r="BV19" s="99"/>
      <c r="BW19" s="99"/>
      <c r="BX19" s="99"/>
      <c r="BY19" s="99"/>
      <c r="BZ19" s="99"/>
      <c r="CA19" s="99"/>
      <c r="CB19" s="99"/>
      <c r="CC19" s="99"/>
      <c r="CD19" s="99"/>
      <c r="CE19" s="99"/>
      <c r="CF19" s="99"/>
      <c r="CG19" s="99"/>
      <c r="CH19" s="99"/>
      <c r="CI19" s="99"/>
      <c r="CJ19" s="99"/>
    </row>
    <row r="20" spans="1:88" s="93" customFormat="1" ht="15.5" customHeight="1">
      <c r="A20" s="144"/>
      <c r="B20" s="139" t="s">
        <v>557</v>
      </c>
      <c r="C20" s="366"/>
      <c r="D20" s="951"/>
      <c r="E20" s="952"/>
      <c r="F20" s="952"/>
      <c r="G20" s="952"/>
      <c r="H20" s="1029">
        <f>H11-SUM(H12:H19)</f>
        <v>208.59399999999999</v>
      </c>
      <c r="I20" s="1029">
        <f t="shared" ref="I20:M20" si="9">I11-SUM(I12:I19)</f>
        <v>212.48200000000003</v>
      </c>
      <c r="J20" s="1029">
        <f t="shared" si="9"/>
        <v>206.81000000000006</v>
      </c>
      <c r="K20" s="1029">
        <f t="shared" si="9"/>
        <v>217.58300000000003</v>
      </c>
      <c r="L20" s="1029">
        <f t="shared" si="9"/>
        <v>206.16300000000001</v>
      </c>
      <c r="M20" s="1029">
        <f t="shared" si="9"/>
        <v>202.48833333333332</v>
      </c>
      <c r="N20" s="1029">
        <f>N11-SUM(N12:N19)</f>
        <v>206.44833333333338</v>
      </c>
      <c r="O20" s="697">
        <f t="shared" ref="O20:Y20" si="10">N20*1.04</f>
        <v>214.70626666666672</v>
      </c>
      <c r="P20" s="588">
        <f t="shared" si="10"/>
        <v>223.2945173333334</v>
      </c>
      <c r="Q20" s="588">
        <f t="shared" si="10"/>
        <v>232.22629802666674</v>
      </c>
      <c r="R20" s="588">
        <f t="shared" si="10"/>
        <v>241.51534994773343</v>
      </c>
      <c r="S20" s="588">
        <f t="shared" si="10"/>
        <v>251.17596394564276</v>
      </c>
      <c r="T20" s="588">
        <f t="shared" si="10"/>
        <v>261.22300250346848</v>
      </c>
      <c r="U20" s="588">
        <f t="shared" si="10"/>
        <v>271.67192260360724</v>
      </c>
      <c r="V20" s="588">
        <f t="shared" si="10"/>
        <v>282.53879950775155</v>
      </c>
      <c r="W20" s="588">
        <f t="shared" si="10"/>
        <v>293.84035148806163</v>
      </c>
      <c r="X20" s="588">
        <f t="shared" si="10"/>
        <v>305.59396554758411</v>
      </c>
      <c r="Y20" s="588">
        <f t="shared" si="10"/>
        <v>317.81772416948746</v>
      </c>
      <c r="Z20" s="588">
        <f t="shared" ref="Z20" si="11">Y20*1.04</f>
        <v>330.53043313626699</v>
      </c>
      <c r="AA20" s="588">
        <f t="shared" ref="AA20" si="12">Z20*1.04</f>
        <v>343.7516504617177</v>
      </c>
      <c r="AB20" s="588">
        <f t="shared" ref="AB20" si="13">AA20*1.04</f>
        <v>357.50171648018642</v>
      </c>
      <c r="AC20" s="589">
        <f t="shared" ref="AC20" si="14">AB20*1.04</f>
        <v>371.80178513939387</v>
      </c>
      <c r="AD20" s="1030"/>
      <c r="AE20" s="690"/>
      <c r="AF20" s="138" t="s">
        <v>396</v>
      </c>
      <c r="AG20" s="138"/>
      <c r="AH20" s="138"/>
      <c r="AI20" s="99"/>
      <c r="AJ20" s="99"/>
      <c r="AK20" s="99"/>
      <c r="AL20" s="99"/>
      <c r="AM20" s="99"/>
      <c r="AN20" s="99"/>
      <c r="AO20" s="99"/>
      <c r="AP20" s="99"/>
      <c r="AQ20" s="99"/>
      <c r="AR20" s="99"/>
      <c r="AS20" s="99"/>
      <c r="AT20" s="99"/>
      <c r="AU20" s="99"/>
      <c r="AV20" s="99"/>
      <c r="AW20" s="99"/>
      <c r="AX20" s="99"/>
      <c r="AY20" s="99"/>
      <c r="AZ20" s="99"/>
      <c r="BA20" s="99"/>
      <c r="BB20" s="99"/>
      <c r="BC20" s="99"/>
      <c r="BD20" s="99"/>
      <c r="BE20" s="99"/>
      <c r="BF20" s="99"/>
      <c r="BG20" s="99"/>
      <c r="BH20" s="99"/>
      <c r="BI20" s="99"/>
      <c r="BJ20" s="99"/>
      <c r="BK20" s="99"/>
      <c r="BL20" s="99"/>
      <c r="BM20" s="99"/>
      <c r="BN20" s="99"/>
      <c r="BO20" s="99"/>
      <c r="BP20" s="99"/>
      <c r="BQ20" s="99"/>
      <c r="BR20" s="99"/>
      <c r="BS20" s="99"/>
      <c r="BT20" s="99"/>
      <c r="BU20" s="99"/>
      <c r="BV20" s="99"/>
      <c r="BW20" s="99"/>
      <c r="BX20" s="99"/>
      <c r="BY20" s="99"/>
      <c r="BZ20" s="99"/>
      <c r="CA20" s="99"/>
      <c r="CB20" s="99"/>
      <c r="CC20" s="99"/>
      <c r="CD20" s="99"/>
      <c r="CE20" s="99"/>
      <c r="CF20" s="99"/>
      <c r="CG20" s="99"/>
      <c r="CH20" s="99"/>
      <c r="CI20" s="99"/>
      <c r="CJ20" s="99"/>
    </row>
    <row r="21" spans="1:88" s="99" customFormat="1">
      <c r="A21" s="143"/>
      <c r="C21" s="117"/>
      <c r="D21" s="117"/>
      <c r="E21" s="117"/>
      <c r="F21" s="117"/>
      <c r="G21" s="117"/>
      <c r="H21" s="130"/>
      <c r="I21" s="130"/>
      <c r="J21" s="130"/>
      <c r="K21" s="130"/>
      <c r="L21" s="130"/>
      <c r="M21" s="130"/>
      <c r="N21" s="140"/>
      <c r="O21" s="140"/>
      <c r="P21" s="140"/>
      <c r="Q21" s="140"/>
      <c r="R21" s="140"/>
      <c r="S21" s="140"/>
      <c r="T21" s="140"/>
      <c r="U21" s="140"/>
      <c r="V21" s="140"/>
      <c r="W21" s="140"/>
      <c r="X21" s="140"/>
      <c r="Y21" s="140"/>
      <c r="Z21" s="140"/>
      <c r="AA21" s="140"/>
      <c r="AB21" s="140"/>
      <c r="AC21" s="140"/>
      <c r="AD21" s="140"/>
      <c r="AE21" s="140"/>
    </row>
    <row r="22" spans="1:88" s="99" customFormat="1" ht="15">
      <c r="A22" s="143"/>
      <c r="B22" s="357" t="s">
        <v>400</v>
      </c>
      <c r="C22" s="117"/>
      <c r="D22" s="117"/>
      <c r="E22" s="117"/>
      <c r="F22" s="117"/>
      <c r="G22" s="117"/>
      <c r="H22" s="130"/>
      <c r="I22" s="130"/>
      <c r="J22" s="130"/>
      <c r="K22" s="130"/>
      <c r="L22" s="130"/>
      <c r="M22" s="130"/>
      <c r="N22" s="140"/>
      <c r="O22" s="140"/>
      <c r="P22" s="140"/>
      <c r="Q22" s="140"/>
      <c r="R22" s="140"/>
      <c r="S22" s="140"/>
      <c r="T22" s="140"/>
      <c r="U22" s="140"/>
      <c r="V22" s="140"/>
      <c r="W22" s="140"/>
      <c r="X22" s="140"/>
      <c r="Y22" s="140"/>
      <c r="Z22" s="140"/>
      <c r="AA22" s="140"/>
      <c r="AB22" s="140"/>
      <c r="AC22" s="140"/>
      <c r="AD22" s="140"/>
      <c r="AE22" s="140"/>
    </row>
    <row r="23" spans="1:88" s="99" customFormat="1" ht="27" customHeight="1">
      <c r="A23" s="143"/>
      <c r="B23" s="1415" t="s">
        <v>562</v>
      </c>
      <c r="C23" s="1416"/>
      <c r="D23" s="1416"/>
      <c r="E23" s="1416"/>
      <c r="F23" s="1416"/>
      <c r="G23" s="1416"/>
      <c r="H23" s="1416"/>
      <c r="I23" s="1416"/>
      <c r="J23" s="1416"/>
      <c r="K23" s="1416"/>
      <c r="L23" s="1416"/>
      <c r="M23" s="1416"/>
      <c r="N23" s="1416"/>
      <c r="O23" s="1417"/>
      <c r="P23" s="1417"/>
      <c r="Q23" s="1417"/>
      <c r="R23" s="1417"/>
      <c r="S23" s="1417"/>
      <c r="T23" s="1417"/>
      <c r="U23" s="1417"/>
      <c r="V23" s="1417"/>
      <c r="W23" s="1417"/>
      <c r="X23" s="1417"/>
      <c r="Y23" s="1417"/>
      <c r="Z23" s="1417"/>
      <c r="AA23" s="1417"/>
      <c r="AB23" s="1417"/>
      <c r="AC23" s="1418"/>
      <c r="AD23" s="692" t="s">
        <v>1008</v>
      </c>
      <c r="AE23" s="691"/>
    </row>
    <row r="24" spans="1:88" s="99" customFormat="1" ht="17.5" customHeight="1">
      <c r="A24" s="143"/>
      <c r="B24" s="85" t="s">
        <v>293</v>
      </c>
      <c r="C24" s="117"/>
      <c r="D24" s="949"/>
      <c r="E24" s="903"/>
      <c r="F24" s="903"/>
      <c r="G24" s="903"/>
      <c r="H24" s="135"/>
      <c r="I24" s="135"/>
      <c r="J24" s="174">
        <f>SUM(J25:J27)</f>
        <v>692.8</v>
      </c>
      <c r="K24" s="174">
        <f t="shared" ref="K24:P24" si="15">SUM(K25:K27)</f>
        <v>39.200000000000003</v>
      </c>
      <c r="L24" s="174">
        <f t="shared" si="15"/>
        <v>29</v>
      </c>
      <c r="M24" s="174">
        <f t="shared" si="15"/>
        <v>27</v>
      </c>
      <c r="N24" s="174">
        <f t="shared" si="15"/>
        <v>18</v>
      </c>
      <c r="O24" s="1031">
        <f t="shared" si="15"/>
        <v>0</v>
      </c>
      <c r="P24" s="1061">
        <f t="shared" si="15"/>
        <v>0</v>
      </c>
      <c r="Q24" s="1061"/>
      <c r="R24" s="1061"/>
      <c r="S24" s="1061"/>
      <c r="T24" s="1061"/>
      <c r="U24" s="1061"/>
      <c r="V24" s="1061"/>
      <c r="W24" s="1061"/>
      <c r="X24" s="1061"/>
      <c r="Y24" s="1061"/>
      <c r="Z24" s="1061"/>
      <c r="AA24" s="1061"/>
      <c r="AB24" s="1061"/>
      <c r="AC24" s="181"/>
      <c r="AD24" s="1028">
        <f t="shared" ref="AD24:AD38" si="16">SUM(I24:Y24)/4</f>
        <v>201.5</v>
      </c>
      <c r="AE24" s="1407" t="s">
        <v>404</v>
      </c>
      <c r="AF24" s="1408"/>
    </row>
    <row r="25" spans="1:88" s="99" customFormat="1" ht="15">
      <c r="A25" s="143"/>
      <c r="B25" s="145" t="s">
        <v>289</v>
      </c>
      <c r="C25" s="117"/>
      <c r="D25" s="949"/>
      <c r="E25" s="903"/>
      <c r="F25" s="903"/>
      <c r="G25" s="903"/>
      <c r="H25" s="135"/>
      <c r="I25" s="135"/>
      <c r="J25" s="174">
        <f>C45*4</f>
        <v>600</v>
      </c>
      <c r="K25" s="174"/>
      <c r="L25" s="174"/>
      <c r="M25" s="174"/>
      <c r="N25" s="174"/>
      <c r="O25" s="1032"/>
      <c r="P25" s="86"/>
      <c r="Q25" s="86"/>
      <c r="R25" s="86"/>
      <c r="S25" s="86"/>
      <c r="T25" s="86"/>
      <c r="U25" s="86"/>
      <c r="V25" s="86"/>
      <c r="W25" s="86"/>
      <c r="X25" s="86"/>
      <c r="Y25" s="86"/>
      <c r="Z25" s="86"/>
      <c r="AA25" s="86"/>
      <c r="AB25" s="86"/>
      <c r="AC25" s="87"/>
      <c r="AD25" s="1028">
        <f t="shared" si="16"/>
        <v>150</v>
      </c>
      <c r="AE25" s="174"/>
    </row>
    <row r="26" spans="1:88" s="99" customFormat="1" ht="15" customHeight="1">
      <c r="A26" s="143"/>
      <c r="B26" s="145" t="s">
        <v>290</v>
      </c>
      <c r="C26" s="117"/>
      <c r="D26" s="949"/>
      <c r="E26" s="903"/>
      <c r="F26" s="903"/>
      <c r="G26" s="903"/>
      <c r="H26" s="135"/>
      <c r="I26" s="135"/>
      <c r="J26" s="174">
        <v>28.4</v>
      </c>
      <c r="K26" s="174">
        <v>15.8</v>
      </c>
      <c r="L26" s="174">
        <v>15.2</v>
      </c>
      <c r="M26" s="174">
        <v>10.9</v>
      </c>
      <c r="N26" s="174">
        <v>18</v>
      </c>
      <c r="O26" s="1032"/>
      <c r="P26" s="86"/>
      <c r="Q26" s="86"/>
      <c r="R26" s="86"/>
      <c r="S26" s="86"/>
      <c r="T26" s="86"/>
      <c r="U26" s="86"/>
      <c r="V26" s="86"/>
      <c r="W26" s="86"/>
      <c r="X26" s="86"/>
      <c r="Y26" s="86"/>
      <c r="Z26" s="86"/>
      <c r="AA26" s="86"/>
      <c r="AB26" s="86"/>
      <c r="AC26" s="87"/>
      <c r="AD26" s="1028">
        <f t="shared" si="16"/>
        <v>22.075000000000003</v>
      </c>
      <c r="AE26" s="174"/>
    </row>
    <row r="27" spans="1:88" s="99" customFormat="1" ht="15">
      <c r="A27" s="143"/>
      <c r="B27" s="167" t="s">
        <v>291</v>
      </c>
      <c r="C27" s="117"/>
      <c r="D27" s="949"/>
      <c r="E27" s="903"/>
      <c r="F27" s="903"/>
      <c r="G27" s="903"/>
      <c r="H27" s="135"/>
      <c r="I27" s="135"/>
      <c r="J27" s="177">
        <v>64.400000000000006</v>
      </c>
      <c r="K27" s="177">
        <v>23.4</v>
      </c>
      <c r="L27" s="177">
        <v>13.8</v>
      </c>
      <c r="M27" s="177">
        <v>16.100000000000001</v>
      </c>
      <c r="N27" s="174"/>
      <c r="O27" s="1032"/>
      <c r="P27" s="86"/>
      <c r="Q27" s="86"/>
      <c r="R27" s="86"/>
      <c r="S27" s="86"/>
      <c r="T27" s="86"/>
      <c r="U27" s="86"/>
      <c r="V27" s="86"/>
      <c r="W27" s="86"/>
      <c r="X27" s="86"/>
      <c r="Y27" s="86"/>
      <c r="Z27" s="86"/>
      <c r="AA27" s="86"/>
      <c r="AB27" s="86"/>
      <c r="AC27" s="87"/>
      <c r="AD27" s="1028">
        <f t="shared" si="16"/>
        <v>29.425000000000004</v>
      </c>
      <c r="AE27" s="174"/>
    </row>
    <row r="28" spans="1:88" s="99" customFormat="1" ht="16.5" customHeight="1">
      <c r="A28" s="143"/>
      <c r="B28" s="168" t="s">
        <v>294</v>
      </c>
      <c r="C28" s="117"/>
      <c r="D28" s="949"/>
      <c r="E28" s="903"/>
      <c r="F28" s="903"/>
      <c r="G28" s="903"/>
      <c r="H28" s="135"/>
      <c r="I28" s="135"/>
      <c r="J28" s="135"/>
      <c r="K28" s="135"/>
      <c r="L28" s="135"/>
      <c r="M28" s="174">
        <f>SUM(M29:M33)</f>
        <v>43</v>
      </c>
      <c r="N28" s="174">
        <f t="shared" ref="N28:AC28" si="17">SUM(N29:N33)</f>
        <v>70</v>
      </c>
      <c r="O28" s="1032">
        <f t="shared" si="17"/>
        <v>59.999999999999964</v>
      </c>
      <c r="P28" s="86">
        <f t="shared" si="17"/>
        <v>50</v>
      </c>
      <c r="Q28" s="86">
        <f t="shared" si="17"/>
        <v>44.999999999999964</v>
      </c>
      <c r="R28" s="86">
        <f t="shared" si="17"/>
        <v>44.999999999999964</v>
      </c>
      <c r="S28" s="86">
        <f t="shared" si="17"/>
        <v>44.999999999999964</v>
      </c>
      <c r="T28" s="86">
        <f t="shared" si="17"/>
        <v>44.999999999999964</v>
      </c>
      <c r="U28" s="86">
        <f t="shared" si="17"/>
        <v>44.999999999999964</v>
      </c>
      <c r="V28" s="86">
        <f t="shared" si="17"/>
        <v>44.999999999999964</v>
      </c>
      <c r="W28" s="86">
        <f t="shared" si="17"/>
        <v>44.999999999999964</v>
      </c>
      <c r="X28" s="86">
        <f t="shared" si="17"/>
        <v>44.999999999999964</v>
      </c>
      <c r="Y28" s="86">
        <f t="shared" si="17"/>
        <v>19</v>
      </c>
      <c r="Z28" s="86">
        <f t="shared" si="17"/>
        <v>0</v>
      </c>
      <c r="AA28" s="86">
        <f t="shared" si="17"/>
        <v>0</v>
      </c>
      <c r="AB28" s="86">
        <f t="shared" si="17"/>
        <v>0</v>
      </c>
      <c r="AC28" s="87">
        <f t="shared" si="17"/>
        <v>0</v>
      </c>
      <c r="AD28" s="1028">
        <f t="shared" si="16"/>
        <v>150.49999999999991</v>
      </c>
      <c r="AE28" s="1407" t="s">
        <v>403</v>
      </c>
      <c r="AF28" s="1408"/>
    </row>
    <row r="29" spans="1:88" s="99" customFormat="1" ht="15">
      <c r="A29" s="143"/>
      <c r="B29" s="167" t="s">
        <v>288</v>
      </c>
      <c r="C29" s="117"/>
      <c r="D29" s="949"/>
      <c r="E29" s="903"/>
      <c r="F29" s="903"/>
      <c r="G29" s="903"/>
      <c r="H29" s="135"/>
      <c r="I29" s="135"/>
      <c r="J29" s="135"/>
      <c r="K29" s="135"/>
      <c r="L29" s="135"/>
      <c r="M29" s="174">
        <f>C48/12*4</f>
        <v>9.6666666666666661</v>
      </c>
      <c r="N29" s="174">
        <f>M29</f>
        <v>9.6666666666666661</v>
      </c>
      <c r="O29" s="1032">
        <f t="shared" ref="O29:X29" si="18">N29</f>
        <v>9.6666666666666661</v>
      </c>
      <c r="P29" s="86">
        <f t="shared" si="18"/>
        <v>9.6666666666666661</v>
      </c>
      <c r="Q29" s="86">
        <f t="shared" si="18"/>
        <v>9.6666666666666661</v>
      </c>
      <c r="R29" s="86">
        <f t="shared" si="18"/>
        <v>9.6666666666666661</v>
      </c>
      <c r="S29" s="86">
        <f t="shared" si="18"/>
        <v>9.6666666666666661</v>
      </c>
      <c r="T29" s="86">
        <f t="shared" si="18"/>
        <v>9.6666666666666661</v>
      </c>
      <c r="U29" s="86">
        <f t="shared" si="18"/>
        <v>9.6666666666666661</v>
      </c>
      <c r="V29" s="86">
        <f t="shared" si="18"/>
        <v>9.6666666666666661</v>
      </c>
      <c r="W29" s="86">
        <f t="shared" si="18"/>
        <v>9.6666666666666661</v>
      </c>
      <c r="X29" s="86">
        <f t="shared" si="18"/>
        <v>9.6666666666666661</v>
      </c>
      <c r="Y29" s="568"/>
      <c r="Z29" s="568"/>
      <c r="AA29" s="568"/>
      <c r="AB29" s="568"/>
      <c r="AC29" s="89"/>
      <c r="AD29" s="1028">
        <f t="shared" si="16"/>
        <v>29.000000000000004</v>
      </c>
      <c r="AE29" s="1407"/>
      <c r="AF29" s="1408"/>
    </row>
    <row r="30" spans="1:88" s="99" customFormat="1" ht="45">
      <c r="A30" s="143"/>
      <c r="B30" s="145" t="s">
        <v>290</v>
      </c>
      <c r="C30" s="117"/>
      <c r="D30" s="949"/>
      <c r="E30" s="903"/>
      <c r="F30" s="903"/>
      <c r="G30" s="903"/>
      <c r="H30" s="135"/>
      <c r="I30" s="135"/>
      <c r="J30" s="135"/>
      <c r="K30" s="135"/>
      <c r="L30" s="135"/>
      <c r="M30" s="1021">
        <f>C59/12*4 - 7</f>
        <v>20.333333333333332</v>
      </c>
      <c r="N30" s="1021">
        <f>C59/12*4 + 20</f>
        <v>47.333333333333329</v>
      </c>
      <c r="O30" s="1033">
        <v>37.3333333333333</v>
      </c>
      <c r="P30" s="91">
        <v>27.333333333333332</v>
      </c>
      <c r="Q30" s="91">
        <v>22.3333333333333</v>
      </c>
      <c r="R30" s="91">
        <v>22.3333333333333</v>
      </c>
      <c r="S30" s="91">
        <v>22.3333333333333</v>
      </c>
      <c r="T30" s="91">
        <v>22.3333333333333</v>
      </c>
      <c r="U30" s="91">
        <v>22.3333333333333</v>
      </c>
      <c r="V30" s="91">
        <v>22.3333333333333</v>
      </c>
      <c r="W30" s="91">
        <v>22.3333333333333</v>
      </c>
      <c r="X30" s="91">
        <v>22.3333333333333</v>
      </c>
      <c r="Y30" s="91">
        <v>19</v>
      </c>
      <c r="Z30" s="91"/>
      <c r="AA30" s="91"/>
      <c r="AB30" s="91"/>
      <c r="AC30" s="92"/>
      <c r="AD30" s="1028">
        <f>SUM(I30:Y30)/4</f>
        <v>82.499999999999943</v>
      </c>
      <c r="AE30" s="693" t="s">
        <v>1172</v>
      </c>
    </row>
    <row r="31" spans="1:88" s="99" customFormat="1" ht="15">
      <c r="A31" s="143"/>
      <c r="B31" s="145" t="s">
        <v>291</v>
      </c>
      <c r="C31" s="117"/>
      <c r="D31" s="949"/>
      <c r="E31" s="903"/>
      <c r="F31" s="903"/>
      <c r="G31" s="903"/>
      <c r="H31" s="135"/>
      <c r="I31" s="135"/>
      <c r="J31" s="135"/>
      <c r="K31" s="135"/>
      <c r="L31" s="135"/>
      <c r="M31" s="174">
        <f>C60/12*4</f>
        <v>1</v>
      </c>
      <c r="N31" s="174">
        <f>C60/12*4</f>
        <v>1</v>
      </c>
      <c r="O31" s="1032">
        <f t="shared" ref="O31:X31" si="19">$C$60/12*4</f>
        <v>1</v>
      </c>
      <c r="P31" s="86">
        <f t="shared" si="19"/>
        <v>1</v>
      </c>
      <c r="Q31" s="86">
        <f t="shared" si="19"/>
        <v>1</v>
      </c>
      <c r="R31" s="86">
        <f t="shared" si="19"/>
        <v>1</v>
      </c>
      <c r="S31" s="86">
        <f t="shared" si="19"/>
        <v>1</v>
      </c>
      <c r="T31" s="86">
        <f t="shared" si="19"/>
        <v>1</v>
      </c>
      <c r="U31" s="86">
        <f t="shared" si="19"/>
        <v>1</v>
      </c>
      <c r="V31" s="86">
        <f t="shared" si="19"/>
        <v>1</v>
      </c>
      <c r="W31" s="86">
        <f t="shared" si="19"/>
        <v>1</v>
      </c>
      <c r="X31" s="86">
        <f t="shared" si="19"/>
        <v>1</v>
      </c>
      <c r="Y31" s="568"/>
      <c r="Z31" s="568"/>
      <c r="AA31" s="568"/>
      <c r="AB31" s="568"/>
      <c r="AC31" s="89"/>
      <c r="AD31" s="1028">
        <f t="shared" si="16"/>
        <v>3</v>
      </c>
      <c r="AE31" s="135"/>
    </row>
    <row r="32" spans="1:88" s="99" customFormat="1" ht="13" customHeight="1">
      <c r="A32" s="143"/>
      <c r="B32" s="145" t="s">
        <v>392</v>
      </c>
      <c r="C32" s="117"/>
      <c r="D32" s="949"/>
      <c r="E32" s="903"/>
      <c r="F32" s="903"/>
      <c r="G32" s="903"/>
      <c r="H32" s="135"/>
      <c r="I32" s="135"/>
      <c r="J32" s="135"/>
      <c r="K32" s="135"/>
      <c r="L32" s="135"/>
      <c r="M32" s="174">
        <f t="shared" ref="M32:X32" si="20">$C$61/12*4</f>
        <v>11.333333333333334</v>
      </c>
      <c r="N32" s="174">
        <f t="shared" si="20"/>
        <v>11.333333333333334</v>
      </c>
      <c r="O32" s="1032">
        <f t="shared" si="20"/>
        <v>11.333333333333334</v>
      </c>
      <c r="P32" s="86">
        <f t="shared" si="20"/>
        <v>11.333333333333334</v>
      </c>
      <c r="Q32" s="86">
        <f t="shared" si="20"/>
        <v>11.333333333333334</v>
      </c>
      <c r="R32" s="86">
        <f t="shared" si="20"/>
        <v>11.333333333333334</v>
      </c>
      <c r="S32" s="86">
        <f t="shared" si="20"/>
        <v>11.333333333333334</v>
      </c>
      <c r="T32" s="86">
        <f t="shared" si="20"/>
        <v>11.333333333333334</v>
      </c>
      <c r="U32" s="86">
        <f t="shared" si="20"/>
        <v>11.333333333333334</v>
      </c>
      <c r="V32" s="86">
        <f t="shared" si="20"/>
        <v>11.333333333333334</v>
      </c>
      <c r="W32" s="86">
        <f t="shared" si="20"/>
        <v>11.333333333333334</v>
      </c>
      <c r="X32" s="86">
        <f t="shared" si="20"/>
        <v>11.333333333333334</v>
      </c>
      <c r="Y32" s="568"/>
      <c r="Z32" s="568"/>
      <c r="AA32" s="568"/>
      <c r="AB32" s="568"/>
      <c r="AC32" s="89"/>
      <c r="AD32" s="1028">
        <f t="shared" si="16"/>
        <v>33.999999999999993</v>
      </c>
      <c r="AE32" s="135"/>
    </row>
    <row r="33" spans="1:88" s="99" customFormat="1" ht="15">
      <c r="A33" s="143"/>
      <c r="B33" s="145" t="s">
        <v>389</v>
      </c>
      <c r="C33" s="117"/>
      <c r="D33" s="949"/>
      <c r="E33" s="903"/>
      <c r="F33" s="903"/>
      <c r="G33" s="903"/>
      <c r="H33" s="135"/>
      <c r="I33" s="135"/>
      <c r="J33" s="135"/>
      <c r="K33" s="135"/>
      <c r="L33" s="135"/>
      <c r="M33" s="174">
        <f t="shared" ref="M33:X33" si="21">$C$62/12*4</f>
        <v>0.66666666666666663</v>
      </c>
      <c r="N33" s="174">
        <f t="shared" si="21"/>
        <v>0.66666666666666663</v>
      </c>
      <c r="O33" s="1032">
        <f t="shared" si="21"/>
        <v>0.66666666666666663</v>
      </c>
      <c r="P33" s="86">
        <f t="shared" si="21"/>
        <v>0.66666666666666663</v>
      </c>
      <c r="Q33" s="86">
        <f t="shared" si="21"/>
        <v>0.66666666666666663</v>
      </c>
      <c r="R33" s="86">
        <f t="shared" si="21"/>
        <v>0.66666666666666663</v>
      </c>
      <c r="S33" s="86">
        <f t="shared" si="21"/>
        <v>0.66666666666666663</v>
      </c>
      <c r="T33" s="86">
        <f t="shared" si="21"/>
        <v>0.66666666666666663</v>
      </c>
      <c r="U33" s="86">
        <f t="shared" si="21"/>
        <v>0.66666666666666663</v>
      </c>
      <c r="V33" s="86">
        <f t="shared" si="21"/>
        <v>0.66666666666666663</v>
      </c>
      <c r="W33" s="86">
        <f t="shared" si="21"/>
        <v>0.66666666666666663</v>
      </c>
      <c r="X33" s="86">
        <f t="shared" si="21"/>
        <v>0.66666666666666663</v>
      </c>
      <c r="Y33" s="568"/>
      <c r="Z33" s="568"/>
      <c r="AA33" s="568"/>
      <c r="AB33" s="568"/>
      <c r="AC33" s="89"/>
      <c r="AD33" s="1028">
        <f t="shared" si="16"/>
        <v>2</v>
      </c>
      <c r="AE33" s="135"/>
    </row>
    <row r="34" spans="1:88" s="99" customFormat="1" ht="44" customHeight="1">
      <c r="A34" s="143"/>
      <c r="B34" s="85" t="s">
        <v>347</v>
      </c>
      <c r="C34" s="117"/>
      <c r="D34" s="949"/>
      <c r="E34" s="903"/>
      <c r="F34" s="903"/>
      <c r="G34" s="903"/>
      <c r="H34" s="135"/>
      <c r="I34" s="135"/>
      <c r="J34" s="135"/>
      <c r="K34" s="135"/>
      <c r="L34" s="135"/>
      <c r="M34" s="174"/>
      <c r="N34" s="174">
        <f t="shared" ref="N34:AC34" si="22">SUM(N35:N39)</f>
        <v>953.63159999999982</v>
      </c>
      <c r="O34" s="1032">
        <f t="shared" si="22"/>
        <v>85.9084</v>
      </c>
      <c r="P34" s="86">
        <f t="shared" si="22"/>
        <v>83.481000000000009</v>
      </c>
      <c r="Q34" s="86">
        <f t="shared" si="22"/>
        <v>662.76099999999997</v>
      </c>
      <c r="R34" s="86">
        <f t="shared" si="22"/>
        <v>83.481000000000009</v>
      </c>
      <c r="S34" s="86">
        <f t="shared" si="22"/>
        <v>83.481000000000009</v>
      </c>
      <c r="T34" s="86">
        <f t="shared" si="22"/>
        <v>62.811999999999998</v>
      </c>
      <c r="U34" s="86">
        <f t="shared" si="22"/>
        <v>62.811999999999998</v>
      </c>
      <c r="V34" s="86">
        <f t="shared" si="22"/>
        <v>62.811999999999998</v>
      </c>
      <c r="W34" s="86">
        <f t="shared" si="22"/>
        <v>62.811999999999998</v>
      </c>
      <c r="X34" s="86">
        <f t="shared" si="22"/>
        <v>41.554000000000002</v>
      </c>
      <c r="Y34" s="86">
        <f t="shared" si="22"/>
        <v>41.554000000000002</v>
      </c>
      <c r="Z34" s="86">
        <f t="shared" si="22"/>
        <v>41.554000000000002</v>
      </c>
      <c r="AA34" s="86">
        <f t="shared" si="22"/>
        <v>41.554000000000002</v>
      </c>
      <c r="AB34" s="86">
        <f t="shared" si="22"/>
        <v>27.678000000000001</v>
      </c>
      <c r="AC34" s="87">
        <f t="shared" si="22"/>
        <v>27.678000000000001</v>
      </c>
      <c r="AD34" s="1028">
        <f t="shared" si="16"/>
        <v>571.77499999999986</v>
      </c>
      <c r="AE34" s="1407" t="s">
        <v>1009</v>
      </c>
      <c r="AF34" s="1408"/>
    </row>
    <row r="35" spans="1:88" s="99" customFormat="1" ht="17.5" customHeight="1">
      <c r="A35" s="143"/>
      <c r="B35" s="145" t="s">
        <v>367</v>
      </c>
      <c r="C35" s="903"/>
      <c r="D35" s="949"/>
      <c r="E35" s="903"/>
      <c r="F35" s="903"/>
      <c r="G35" s="903"/>
      <c r="H35" s="135"/>
      <c r="I35" s="135"/>
      <c r="J35" s="135"/>
      <c r="K35" s="135"/>
      <c r="L35" s="135"/>
      <c r="M35" s="174"/>
      <c r="N35" s="174">
        <f>0.6*C64*4</f>
        <v>868.91999999999985</v>
      </c>
      <c r="O35" s="1032"/>
      <c r="P35" s="86"/>
      <c r="Q35" s="86">
        <f>0.4*C64*4</f>
        <v>579.28</v>
      </c>
      <c r="R35" s="86"/>
      <c r="S35" s="86"/>
      <c r="T35" s="86"/>
      <c r="U35" s="86"/>
      <c r="V35" s="86"/>
      <c r="W35" s="86"/>
      <c r="X35" s="86"/>
      <c r="Y35" s="86"/>
      <c r="Z35" s="86"/>
      <c r="AA35" s="86"/>
      <c r="AB35" s="86"/>
      <c r="AC35" s="87"/>
      <c r="AD35" s="1028">
        <f t="shared" si="16"/>
        <v>362.04999999999995</v>
      </c>
      <c r="AE35" s="169" t="s">
        <v>395</v>
      </c>
      <c r="AF35" s="169"/>
    </row>
    <row r="36" spans="1:88" s="99" customFormat="1" ht="15">
      <c r="A36" s="143"/>
      <c r="B36" s="145" t="s">
        <v>290</v>
      </c>
      <c r="C36" s="903"/>
      <c r="D36" s="949"/>
      <c r="E36" s="903"/>
      <c r="F36" s="903"/>
      <c r="G36" s="903"/>
      <c r="H36" s="135"/>
      <c r="I36" s="135"/>
      <c r="J36" s="135"/>
      <c r="K36" s="135"/>
      <c r="L36" s="135"/>
      <c r="M36" s="174"/>
      <c r="N36" s="174">
        <f>'ARP Quarterly'!D9</f>
        <v>24.693999999999999</v>
      </c>
      <c r="O36" s="1032">
        <f>'ARP Quarterly'!E9</f>
        <v>24.693999999999999</v>
      </c>
      <c r="P36" s="86">
        <f>'ARP Quarterly'!F9</f>
        <v>46.79</v>
      </c>
      <c r="Q36" s="86">
        <f>'ARP Quarterly'!G9</f>
        <v>46.79</v>
      </c>
      <c r="R36" s="86">
        <f>'ARP Quarterly'!H9</f>
        <v>46.79</v>
      </c>
      <c r="S36" s="86">
        <f>'ARP Quarterly'!I9</f>
        <v>46.79</v>
      </c>
      <c r="T36" s="86">
        <f>'ARP Quarterly'!J9</f>
        <v>38.595999999999997</v>
      </c>
      <c r="U36" s="86">
        <f>'ARP Quarterly'!K9</f>
        <v>38.595999999999997</v>
      </c>
      <c r="V36" s="86">
        <f>'ARP Quarterly'!L9</f>
        <v>38.595999999999997</v>
      </c>
      <c r="W36" s="86">
        <f>'ARP Quarterly'!M9</f>
        <v>38.595999999999997</v>
      </c>
      <c r="X36" s="86">
        <f>'ARP Quarterly'!N9</f>
        <v>31.911000000000001</v>
      </c>
      <c r="Y36" s="86">
        <f>'ARP Quarterly'!O9</f>
        <v>31.911000000000001</v>
      </c>
      <c r="Z36" s="86">
        <f>'ARP Quarterly'!P9</f>
        <v>31.911000000000001</v>
      </c>
      <c r="AA36" s="86">
        <f>'ARP Quarterly'!Q9</f>
        <v>31.911000000000001</v>
      </c>
      <c r="AB36" s="86">
        <f>'ARP Quarterly'!R9</f>
        <v>23.099</v>
      </c>
      <c r="AC36" s="87">
        <f>'ARP Quarterly'!S9</f>
        <v>23.099</v>
      </c>
      <c r="AD36" s="1028">
        <f t="shared" si="16"/>
        <v>113.68849999999999</v>
      </c>
      <c r="AE36" s="174"/>
    </row>
    <row r="37" spans="1:88" s="99" customFormat="1" ht="15">
      <c r="A37" s="143"/>
      <c r="B37" s="145" t="s">
        <v>291</v>
      </c>
      <c r="C37" s="903"/>
      <c r="D37" s="949"/>
      <c r="E37" s="903"/>
      <c r="F37" s="903"/>
      <c r="G37" s="903"/>
      <c r="H37" s="135"/>
      <c r="I37" s="135"/>
      <c r="J37" s="135"/>
      <c r="K37" s="135"/>
      <c r="L37" s="135"/>
      <c r="M37" s="174"/>
      <c r="N37" s="174">
        <f>'ARP Quarterly'!D14</f>
        <v>0.76160000000000005</v>
      </c>
      <c r="O37" s="1032">
        <f>'ARP Quarterly'!E14</f>
        <v>1.9584000000000001</v>
      </c>
      <c r="P37" s="86">
        <f>'ARP Quarterly'!F14</f>
        <v>1.02</v>
      </c>
      <c r="Q37" s="86">
        <f>'ARP Quarterly'!G14</f>
        <v>1.02</v>
      </c>
      <c r="R37" s="86">
        <f>'ARP Quarterly'!H14</f>
        <v>1.02</v>
      </c>
      <c r="S37" s="86">
        <f>'ARP Quarterly'!I14</f>
        <v>1.02</v>
      </c>
      <c r="T37" s="86">
        <f>'ARP Quarterly'!J14</f>
        <v>0</v>
      </c>
      <c r="U37" s="86">
        <f>'ARP Quarterly'!K14</f>
        <v>0</v>
      </c>
      <c r="V37" s="86">
        <f>'ARP Quarterly'!L14</f>
        <v>0</v>
      </c>
      <c r="W37" s="86">
        <f>'ARP Quarterly'!M14</f>
        <v>0</v>
      </c>
      <c r="X37" s="86">
        <f>'ARP Quarterly'!N14</f>
        <v>0</v>
      </c>
      <c r="Y37" s="86">
        <f>'ARP Quarterly'!O14</f>
        <v>0</v>
      </c>
      <c r="Z37" s="86">
        <f>'ARP Quarterly'!P14</f>
        <v>0</v>
      </c>
      <c r="AA37" s="86">
        <f>'ARP Quarterly'!Q14</f>
        <v>0</v>
      </c>
      <c r="AB37" s="86">
        <f>'ARP Quarterly'!R14</f>
        <v>0</v>
      </c>
      <c r="AC37" s="87">
        <f>'ARP Quarterly'!S14</f>
        <v>0</v>
      </c>
      <c r="AD37" s="1028">
        <f t="shared" si="16"/>
        <v>1.6999999999999997</v>
      </c>
      <c r="AE37" s="174"/>
    </row>
    <row r="38" spans="1:88" s="99" customFormat="1" ht="15">
      <c r="A38" s="143"/>
      <c r="B38" s="145" t="s">
        <v>394</v>
      </c>
      <c r="C38" s="903"/>
      <c r="D38" s="949"/>
      <c r="E38" s="903"/>
      <c r="F38" s="903"/>
      <c r="G38" s="903"/>
      <c r="H38" s="135"/>
      <c r="I38" s="135"/>
      <c r="J38" s="135"/>
      <c r="K38" s="135"/>
      <c r="L38" s="135"/>
      <c r="M38" s="174"/>
      <c r="N38" s="174">
        <f>'ARP Quarterly'!D10</f>
        <v>59.256</v>
      </c>
      <c r="O38" s="1032">
        <f>'ARP Quarterly'!E10</f>
        <v>59.256</v>
      </c>
      <c r="P38" s="86">
        <f>'ARP Quarterly'!F10</f>
        <v>35.671000000000006</v>
      </c>
      <c r="Q38" s="86">
        <f>'ARP Quarterly'!G10</f>
        <v>35.671000000000006</v>
      </c>
      <c r="R38" s="86">
        <f>'ARP Quarterly'!H10</f>
        <v>35.671000000000006</v>
      </c>
      <c r="S38" s="86">
        <f>'ARP Quarterly'!I10</f>
        <v>35.671000000000006</v>
      </c>
      <c r="T38" s="86">
        <f>'ARP Quarterly'!J10</f>
        <v>24.216000000000001</v>
      </c>
      <c r="U38" s="86">
        <f>'ARP Quarterly'!K10</f>
        <v>24.216000000000001</v>
      </c>
      <c r="V38" s="86">
        <f>'ARP Quarterly'!L10</f>
        <v>24.216000000000001</v>
      </c>
      <c r="W38" s="86">
        <f>'ARP Quarterly'!M10</f>
        <v>24.216000000000001</v>
      </c>
      <c r="X38" s="86">
        <f>'ARP Quarterly'!N10</f>
        <v>9.6430000000000007</v>
      </c>
      <c r="Y38" s="86">
        <f>'ARP Quarterly'!O10</f>
        <v>9.6430000000000007</v>
      </c>
      <c r="Z38" s="86">
        <f>'ARP Quarterly'!P10</f>
        <v>9.6430000000000007</v>
      </c>
      <c r="AA38" s="86">
        <f>'ARP Quarterly'!Q10</f>
        <v>9.6430000000000007</v>
      </c>
      <c r="AB38" s="86">
        <f>'ARP Quarterly'!R10</f>
        <v>4.5789999999999997</v>
      </c>
      <c r="AC38" s="87">
        <f>'ARP Quarterly'!S10</f>
        <v>4.5789999999999997</v>
      </c>
      <c r="AD38" s="1028">
        <f t="shared" si="16"/>
        <v>94.336500000000001</v>
      </c>
      <c r="AE38" s="174"/>
    </row>
    <row r="39" spans="1:88" s="141" customFormat="1">
      <c r="A39" s="143"/>
      <c r="B39" s="159"/>
      <c r="C39" s="366"/>
      <c r="D39" s="951"/>
      <c r="E39" s="952"/>
      <c r="F39" s="952"/>
      <c r="G39" s="952"/>
      <c r="H39" s="1022"/>
      <c r="I39" s="1022"/>
      <c r="J39" s="1022"/>
      <c r="K39" s="1022"/>
      <c r="L39" s="1022"/>
      <c r="M39" s="1024"/>
      <c r="N39" s="1024"/>
      <c r="O39" s="1034"/>
      <c r="P39" s="172"/>
      <c r="Q39" s="172"/>
      <c r="R39" s="172"/>
      <c r="S39" s="172"/>
      <c r="T39" s="172"/>
      <c r="U39" s="172"/>
      <c r="V39" s="172"/>
      <c r="W39" s="172"/>
      <c r="X39" s="172"/>
      <c r="Y39" s="172"/>
      <c r="Z39" s="172"/>
      <c r="AA39" s="172"/>
      <c r="AB39" s="172"/>
      <c r="AC39" s="173"/>
      <c r="AD39" s="1023"/>
      <c r="AE39" s="174"/>
      <c r="AF39" s="99"/>
      <c r="AG39" s="99"/>
      <c r="AH39" s="99"/>
      <c r="AI39" s="99"/>
      <c r="AJ39" s="99"/>
      <c r="AK39" s="99"/>
      <c r="AL39" s="99"/>
      <c r="AM39" s="99"/>
      <c r="AN39" s="99"/>
      <c r="AO39" s="99"/>
      <c r="AP39" s="99"/>
      <c r="AQ39" s="99"/>
      <c r="AR39" s="99"/>
      <c r="AS39" s="99"/>
      <c r="AT39" s="99"/>
      <c r="AU39" s="99"/>
      <c r="AV39" s="99"/>
      <c r="AW39" s="99"/>
      <c r="AX39" s="99"/>
      <c r="AY39" s="99"/>
      <c r="AZ39" s="99"/>
      <c r="BA39" s="99"/>
      <c r="BB39" s="99"/>
      <c r="BC39" s="99"/>
      <c r="BD39" s="99"/>
      <c r="BE39" s="99"/>
      <c r="BF39" s="99"/>
      <c r="BG39" s="99"/>
      <c r="BH39" s="99"/>
      <c r="BI39" s="99"/>
      <c r="BJ39" s="99"/>
      <c r="BK39" s="99"/>
      <c r="BL39" s="99"/>
      <c r="BM39" s="99"/>
      <c r="BN39" s="99"/>
      <c r="BO39" s="99"/>
      <c r="BP39" s="99"/>
      <c r="BQ39" s="99"/>
      <c r="BR39" s="99"/>
      <c r="BS39" s="99"/>
      <c r="BT39" s="99"/>
      <c r="BU39" s="99"/>
      <c r="BV39" s="99"/>
      <c r="BW39" s="99"/>
      <c r="BX39" s="99"/>
      <c r="BY39" s="99"/>
      <c r="BZ39" s="99"/>
      <c r="CA39" s="99"/>
      <c r="CB39" s="99"/>
      <c r="CC39" s="99"/>
      <c r="CD39" s="99"/>
      <c r="CE39" s="99"/>
      <c r="CF39" s="99"/>
      <c r="CG39" s="99"/>
      <c r="CH39" s="99"/>
      <c r="CI39" s="99"/>
      <c r="CJ39" s="99"/>
    </row>
    <row r="40" spans="1:88" s="99" customFormat="1">
      <c r="A40" s="143"/>
      <c r="B40" s="142"/>
      <c r="C40" s="117"/>
      <c r="D40" s="117"/>
      <c r="E40" s="117"/>
      <c r="F40" s="117"/>
      <c r="G40" s="117"/>
      <c r="H40" s="130"/>
      <c r="I40" s="130"/>
      <c r="J40" s="130"/>
      <c r="K40" s="130"/>
      <c r="L40" s="130"/>
      <c r="M40" s="130"/>
      <c r="N40" s="140"/>
      <c r="O40" s="140"/>
      <c r="P40" s="140"/>
      <c r="Q40" s="140"/>
      <c r="R40" s="140"/>
      <c r="S40" s="140"/>
      <c r="T40" s="140"/>
      <c r="U40" s="140"/>
      <c r="V40" s="140"/>
      <c r="W40" s="140"/>
      <c r="X40" s="140"/>
      <c r="Y40" s="140"/>
      <c r="Z40" s="140"/>
      <c r="AA40" s="140"/>
      <c r="AB40" s="140"/>
      <c r="AC40" s="140"/>
      <c r="AD40" s="140"/>
      <c r="AE40" s="140"/>
    </row>
    <row r="41" spans="1:88" s="99" customFormat="1">
      <c r="A41" s="143"/>
      <c r="B41" s="142"/>
      <c r="C41" s="117"/>
      <c r="D41" s="117"/>
      <c r="E41" s="117"/>
      <c r="F41" s="117"/>
      <c r="G41" s="117"/>
      <c r="H41" s="130"/>
      <c r="I41" s="130"/>
      <c r="J41" s="130"/>
      <c r="K41" s="130"/>
      <c r="L41" s="130"/>
      <c r="M41" s="130"/>
      <c r="N41" s="140"/>
      <c r="O41" s="140"/>
      <c r="P41" s="140"/>
      <c r="Q41" s="140"/>
      <c r="R41" s="140"/>
      <c r="S41" s="140"/>
      <c r="T41" s="140"/>
      <c r="U41" s="140"/>
      <c r="V41" s="140"/>
      <c r="W41" s="140"/>
      <c r="X41" s="140"/>
      <c r="Y41" s="140"/>
      <c r="Z41" s="140"/>
      <c r="AA41" s="140"/>
      <c r="AB41" s="140"/>
      <c r="AC41" s="140"/>
      <c r="AD41" s="140"/>
      <c r="AE41" s="140"/>
    </row>
    <row r="42" spans="1:88" s="84" customFormat="1" ht="17.5" customHeight="1">
      <c r="A42" s="137"/>
      <c r="B42" s="175" t="s">
        <v>401</v>
      </c>
      <c r="H42" s="88"/>
      <c r="I42" s="88"/>
      <c r="J42" s="88"/>
      <c r="K42" s="88"/>
      <c r="L42" s="88"/>
      <c r="M42" s="88"/>
      <c r="N42" s="135"/>
      <c r="O42" s="135"/>
      <c r="P42" s="135"/>
      <c r="Q42" s="135"/>
      <c r="R42" s="135"/>
      <c r="S42" s="135"/>
      <c r="T42" s="135"/>
      <c r="U42" s="135"/>
      <c r="V42" s="135"/>
      <c r="W42" s="135"/>
      <c r="X42" s="135"/>
      <c r="Y42" s="135"/>
      <c r="Z42" s="135"/>
      <c r="AA42" s="135"/>
      <c r="AB42" s="135"/>
      <c r="AC42" s="135"/>
      <c r="AD42" s="135"/>
      <c r="AE42" s="135"/>
    </row>
    <row r="43" spans="1:88" s="44" customFormat="1" ht="29.5" customHeight="1">
      <c r="A43" s="131"/>
      <c r="B43" s="146" t="s">
        <v>359</v>
      </c>
      <c r="C43" s="147" t="s">
        <v>348</v>
      </c>
      <c r="D43" s="179" t="s">
        <v>361</v>
      </c>
      <c r="E43" s="664" t="s">
        <v>360</v>
      </c>
      <c r="F43" s="88"/>
      <c r="G43" s="88"/>
      <c r="H43" s="88"/>
      <c r="I43" s="88"/>
      <c r="J43" s="135"/>
      <c r="K43" s="135"/>
      <c r="L43" s="135"/>
      <c r="M43" s="135"/>
      <c r="N43" s="135"/>
      <c r="O43" s="135"/>
      <c r="P43" s="135"/>
      <c r="Q43" s="135"/>
      <c r="R43" s="135"/>
      <c r="S43" s="135"/>
      <c r="T43" s="135"/>
      <c r="U43" s="135"/>
      <c r="V43" s="135"/>
      <c r="W43" s="135"/>
      <c r="X43" s="84"/>
      <c r="AE43" s="84"/>
      <c r="AF43" s="84"/>
      <c r="AG43" s="84"/>
      <c r="AH43" s="84"/>
      <c r="AI43" s="84"/>
      <c r="AJ43" s="84"/>
      <c r="AK43" s="84"/>
      <c r="AL43" s="84"/>
      <c r="AM43" s="84"/>
      <c r="AN43" s="84"/>
      <c r="AO43" s="84"/>
      <c r="AP43" s="84"/>
      <c r="AQ43" s="84"/>
      <c r="AR43" s="84"/>
      <c r="AS43" s="84"/>
      <c r="AT43" s="84"/>
      <c r="AU43" s="84"/>
      <c r="AV43" s="84"/>
      <c r="AW43" s="84"/>
      <c r="AX43" s="84"/>
      <c r="AY43" s="84"/>
      <c r="AZ43" s="84"/>
      <c r="BA43" s="84"/>
      <c r="BB43" s="84"/>
      <c r="BC43" s="84"/>
      <c r="BD43" s="84"/>
      <c r="BE43" s="84"/>
      <c r="BF43" s="84"/>
      <c r="BG43" s="84"/>
      <c r="BH43" s="84"/>
      <c r="BI43" s="84"/>
      <c r="BJ43" s="84"/>
      <c r="BK43" s="84"/>
      <c r="BL43" s="84"/>
      <c r="BM43" s="84"/>
      <c r="BN43" s="84"/>
      <c r="BO43" s="84"/>
      <c r="BP43" s="84"/>
      <c r="BQ43" s="84"/>
      <c r="BR43" s="84"/>
      <c r="BS43" s="84"/>
      <c r="BT43" s="84"/>
      <c r="BU43" s="84"/>
      <c r="BV43" s="84"/>
      <c r="BW43" s="84"/>
      <c r="BX43" s="84"/>
      <c r="BY43" s="84"/>
      <c r="BZ43" s="84"/>
      <c r="CA43" s="84"/>
      <c r="CB43" s="84"/>
      <c r="CC43" s="84"/>
      <c r="CD43" s="84"/>
      <c r="CE43" s="84"/>
      <c r="CF43" s="84"/>
    </row>
    <row r="44" spans="1:88" s="44" customFormat="1" ht="18.5" customHeight="1">
      <c r="A44" s="131"/>
      <c r="B44" s="118" t="s">
        <v>387</v>
      </c>
      <c r="C44" s="164">
        <f>SUM(C45:C50)</f>
        <v>898.11599999999999</v>
      </c>
      <c r="D44" s="88">
        <f>SUM(D45:D49)</f>
        <v>203.64166666666668</v>
      </c>
      <c r="E44" s="53">
        <f>SUM(E45:E49)</f>
        <v>649.07733333333329</v>
      </c>
      <c r="F44" s="88"/>
      <c r="G44" s="88"/>
      <c r="H44" s="88"/>
      <c r="I44" s="133"/>
      <c r="J44" s="135"/>
      <c r="K44" s="135"/>
      <c r="L44" s="135"/>
      <c r="M44" s="135"/>
      <c r="N44" s="135"/>
      <c r="O44" s="135"/>
      <c r="P44" s="135"/>
      <c r="Q44" s="135"/>
      <c r="R44" s="135"/>
      <c r="S44" s="135"/>
      <c r="T44" s="135"/>
      <c r="U44" s="135"/>
      <c r="V44" s="135"/>
      <c r="W44" s="135"/>
      <c r="X44" s="137"/>
      <c r="Y44" s="137"/>
      <c r="Z44" s="137"/>
      <c r="AA44" s="137"/>
      <c r="AB44" s="137"/>
      <c r="AC44" s="137"/>
      <c r="AD44" s="137"/>
      <c r="AE44" s="137"/>
      <c r="AF44" s="137"/>
      <c r="AG44" s="137"/>
      <c r="AH44" s="137"/>
      <c r="AI44" s="84"/>
      <c r="AJ44" s="84"/>
      <c r="AK44" s="84"/>
      <c r="AL44" s="84"/>
      <c r="AM44" s="84"/>
      <c r="AN44" s="84"/>
      <c r="AO44" s="84"/>
      <c r="AP44" s="84"/>
      <c r="AQ44" s="84"/>
      <c r="AR44" s="84"/>
      <c r="AS44" s="84"/>
      <c r="AT44" s="84"/>
      <c r="AU44" s="84"/>
      <c r="AV44" s="84"/>
      <c r="AW44" s="84"/>
      <c r="AX44" s="84"/>
      <c r="AY44" s="84"/>
      <c r="AZ44" s="84"/>
      <c r="BA44" s="84"/>
      <c r="BB44" s="84"/>
      <c r="BC44" s="84"/>
      <c r="BD44" s="84"/>
      <c r="BE44" s="84"/>
      <c r="BF44" s="84"/>
      <c r="BG44" s="84"/>
      <c r="BH44" s="84"/>
      <c r="BI44" s="84"/>
      <c r="BJ44" s="84"/>
      <c r="BK44" s="84"/>
      <c r="BL44" s="84"/>
      <c r="BM44" s="84"/>
      <c r="BN44" s="84"/>
      <c r="BO44" s="84"/>
      <c r="BP44" s="84"/>
      <c r="BQ44" s="84"/>
      <c r="BR44" s="84"/>
      <c r="BS44" s="84"/>
      <c r="BT44" s="84"/>
      <c r="BU44" s="84"/>
      <c r="BV44" s="84"/>
      <c r="BW44" s="84"/>
      <c r="BX44" s="84"/>
      <c r="BY44" s="84"/>
      <c r="BZ44" s="84"/>
      <c r="CA44" s="84"/>
      <c r="CB44" s="84"/>
      <c r="CC44" s="84"/>
      <c r="CD44" s="84"/>
      <c r="CE44" s="84"/>
      <c r="CF44" s="84"/>
    </row>
    <row r="45" spans="1:88" s="44" customFormat="1" ht="15">
      <c r="A45" s="131"/>
      <c r="B45" s="115" t="s">
        <v>289</v>
      </c>
      <c r="C45" s="164">
        <f>C54</f>
        <v>150</v>
      </c>
      <c r="D45" s="88">
        <f>SUM(H12:M12)/4</f>
        <v>149.47499999999999</v>
      </c>
      <c r="E45" s="150">
        <f>C45-D45</f>
        <v>0.52500000000000568</v>
      </c>
      <c r="F45" s="88"/>
      <c r="G45" s="88"/>
      <c r="H45" s="88"/>
      <c r="I45" s="182"/>
      <c r="J45" s="182"/>
      <c r="K45" s="182"/>
      <c r="L45" s="182"/>
      <c r="M45" s="182"/>
      <c r="N45" s="182"/>
      <c r="O45" s="182"/>
      <c r="P45" s="182"/>
      <c r="Q45" s="135"/>
      <c r="R45" s="135"/>
      <c r="S45" s="135"/>
      <c r="T45" s="135"/>
      <c r="U45" s="135"/>
      <c r="V45" s="135"/>
      <c r="W45" s="135"/>
      <c r="X45" s="137"/>
      <c r="Y45" s="137"/>
      <c r="Z45" s="137"/>
      <c r="AA45" s="137"/>
      <c r="AB45" s="137"/>
      <c r="AC45" s="137"/>
      <c r="AD45" s="137"/>
      <c r="AE45" s="137"/>
      <c r="AF45" s="137"/>
      <c r="AG45" s="137"/>
      <c r="AH45" s="137"/>
    </row>
    <row r="46" spans="1:88" s="44" customFormat="1" ht="15">
      <c r="A46" s="131"/>
      <c r="B46" s="115" t="s">
        <v>290</v>
      </c>
      <c r="C46" s="134">
        <f>C55+C59+C65</f>
        <v>273.16899999999998</v>
      </c>
      <c r="D46" s="88">
        <f>SUM(H13:M13)/4</f>
        <v>22.075000000000003</v>
      </c>
      <c r="E46" s="150">
        <f>C46-D46</f>
        <v>251.09399999999999</v>
      </c>
      <c r="F46" s="88"/>
      <c r="G46" s="88"/>
      <c r="H46" s="88"/>
      <c r="I46" s="182"/>
      <c r="J46" s="182"/>
      <c r="K46" s="182"/>
      <c r="L46" s="182"/>
      <c r="M46" s="182"/>
      <c r="N46" s="182"/>
      <c r="O46" s="182"/>
      <c r="P46" s="182"/>
      <c r="Q46" s="135"/>
      <c r="R46" s="135"/>
      <c r="S46" s="135"/>
      <c r="T46" s="135"/>
      <c r="U46" s="135"/>
      <c r="V46" s="135"/>
      <c r="W46" s="135"/>
      <c r="X46" s="137"/>
      <c r="Y46" s="137"/>
      <c r="Z46" s="137"/>
      <c r="AA46" s="137"/>
      <c r="AB46" s="137"/>
      <c r="AC46" s="137"/>
      <c r="AD46" s="137"/>
      <c r="AE46" s="137"/>
      <c r="AF46" s="137"/>
      <c r="AG46" s="137"/>
      <c r="AH46" s="137"/>
    </row>
    <row r="47" spans="1:88" s="44" customFormat="1" ht="15">
      <c r="A47" s="131"/>
      <c r="B47" s="166" t="s">
        <v>291</v>
      </c>
      <c r="C47" s="161">
        <f>C56+C66+C60</f>
        <v>38.5</v>
      </c>
      <c r="D47" s="88">
        <f>SUM(H14:M14)/4</f>
        <v>29.675000000000004</v>
      </c>
      <c r="E47" s="150">
        <f>C47-D47</f>
        <v>8.8249999999999957</v>
      </c>
      <c r="F47" s="88"/>
      <c r="G47" s="88"/>
      <c r="H47" s="88"/>
      <c r="I47" s="182"/>
      <c r="J47" s="182"/>
      <c r="K47" s="182"/>
      <c r="L47" s="182"/>
      <c r="M47" s="182"/>
      <c r="N47" s="182"/>
      <c r="O47" s="182"/>
      <c r="P47" s="182"/>
      <c r="Q47" s="1406"/>
      <c r="R47" s="1406"/>
      <c r="S47" s="1406"/>
      <c r="T47" s="1406"/>
      <c r="U47" s="1406"/>
      <c r="V47" s="1406"/>
      <c r="W47" s="1406"/>
      <c r="X47" s="1406"/>
      <c r="Y47" s="1406"/>
      <c r="Z47" s="1406"/>
      <c r="AA47" s="1406"/>
      <c r="AB47" s="1406"/>
      <c r="AC47" s="1406"/>
      <c r="AD47" s="1406"/>
      <c r="AE47" s="1406"/>
      <c r="AF47" s="1406"/>
      <c r="AG47" s="1406"/>
      <c r="AH47" s="1406"/>
    </row>
    <row r="48" spans="1:88" s="44" customFormat="1" ht="17" customHeight="1">
      <c r="A48" s="131"/>
      <c r="B48" s="166" t="s">
        <v>358</v>
      </c>
      <c r="C48" s="161">
        <f>C58</f>
        <v>29</v>
      </c>
      <c r="D48" s="88">
        <f>SUM(H15:M15)/4</f>
        <v>2.4166666666666665</v>
      </c>
      <c r="E48" s="150">
        <f>C48-D48</f>
        <v>26.583333333333332</v>
      </c>
      <c r="F48" s="88"/>
      <c r="G48" s="88"/>
      <c r="H48" s="88"/>
      <c r="I48" s="182"/>
      <c r="J48" s="182"/>
      <c r="K48" s="182"/>
      <c r="L48" s="182"/>
      <c r="M48" s="182"/>
      <c r="N48" s="182"/>
      <c r="O48" s="182"/>
      <c r="P48" s="182"/>
      <c r="Q48" s="1382"/>
      <c r="R48" s="1382"/>
      <c r="S48" s="1382"/>
      <c r="T48" s="1382"/>
      <c r="U48" s="1382"/>
      <c r="V48" s="1382"/>
      <c r="W48" s="1382"/>
      <c r="X48" s="1382"/>
      <c r="Y48" s="1382"/>
      <c r="Z48" s="848"/>
      <c r="AA48" s="889"/>
      <c r="AB48" s="889"/>
      <c r="AC48" s="889"/>
      <c r="AD48" s="1382"/>
      <c r="AE48" s="1382"/>
      <c r="AF48" s="1382"/>
      <c r="AG48" s="1382"/>
      <c r="AH48" s="96"/>
    </row>
    <row r="49" spans="1:34" s="44" customFormat="1" ht="15.5" customHeight="1">
      <c r="A49" s="131"/>
      <c r="B49" s="166" t="s">
        <v>367</v>
      </c>
      <c r="C49" s="161">
        <f>C64</f>
        <v>362.04999999999995</v>
      </c>
      <c r="D49" s="88">
        <v>0</v>
      </c>
      <c r="E49" s="150">
        <f>C49-D49</f>
        <v>362.04999999999995</v>
      </c>
      <c r="F49" s="88"/>
      <c r="G49" s="88"/>
      <c r="H49" s="88"/>
      <c r="I49" s="182"/>
      <c r="J49" s="182"/>
      <c r="K49" s="182"/>
      <c r="L49" s="182"/>
      <c r="M49" s="182"/>
      <c r="N49" s="182"/>
      <c r="O49" s="182"/>
      <c r="P49" s="182"/>
      <c r="Q49" s="96"/>
      <c r="R49" s="96"/>
      <c r="S49" s="96"/>
      <c r="T49" s="96"/>
      <c r="U49" s="96"/>
      <c r="V49" s="304"/>
      <c r="W49" s="304"/>
      <c r="X49" s="96"/>
      <c r="Y49" s="96"/>
      <c r="Z49" s="848"/>
      <c r="AA49" s="889"/>
      <c r="AB49" s="889"/>
      <c r="AC49" s="889"/>
      <c r="AD49" s="96"/>
      <c r="AE49" s="96"/>
      <c r="AF49" s="96"/>
      <c r="AG49" s="96"/>
      <c r="AH49" s="96"/>
    </row>
    <row r="50" spans="1:34" s="44" customFormat="1" ht="15" customHeight="1">
      <c r="A50" s="131"/>
      <c r="B50" s="112" t="s">
        <v>393</v>
      </c>
      <c r="C50" s="164">
        <f>C67+C68+C61+C62</f>
        <v>45.396999999999998</v>
      </c>
      <c r="D50" s="88"/>
      <c r="E50" s="150"/>
      <c r="F50" s="88"/>
      <c r="G50" s="88"/>
      <c r="H50" s="88"/>
      <c r="I50" s="182"/>
      <c r="J50" s="182"/>
      <c r="K50" s="182"/>
      <c r="L50" s="182"/>
      <c r="M50" s="182"/>
      <c r="N50" s="182"/>
      <c r="O50" s="182"/>
      <c r="P50" s="182"/>
      <c r="Q50" s="135"/>
      <c r="R50" s="135"/>
      <c r="S50" s="135"/>
      <c r="T50" s="135"/>
      <c r="U50" s="135"/>
      <c r="V50" s="135"/>
      <c r="W50" s="135"/>
      <c r="X50" s="137"/>
      <c r="Y50" s="137"/>
      <c r="Z50" s="137"/>
      <c r="AA50" s="137"/>
      <c r="AB50" s="137"/>
      <c r="AC50" s="137"/>
      <c r="AD50" s="137"/>
      <c r="AE50" s="137"/>
      <c r="AF50" s="137"/>
      <c r="AG50" s="137"/>
      <c r="AH50" s="137"/>
    </row>
    <row r="51" spans="1:34" s="44" customFormat="1" ht="5" customHeight="1">
      <c r="A51" s="131"/>
      <c r="B51" s="112"/>
      <c r="C51" s="164"/>
      <c r="D51" s="88"/>
      <c r="E51" s="150"/>
      <c r="F51" s="88"/>
      <c r="G51" s="88"/>
      <c r="H51" s="88"/>
      <c r="I51" s="182"/>
      <c r="J51" s="182"/>
      <c r="K51" s="182"/>
      <c r="L51" s="182"/>
      <c r="M51" s="182"/>
      <c r="N51" s="182"/>
      <c r="O51" s="182"/>
      <c r="P51" s="182"/>
      <c r="Q51" s="135"/>
      <c r="R51" s="135"/>
      <c r="S51" s="135"/>
      <c r="T51" s="135"/>
      <c r="U51" s="135"/>
      <c r="V51" s="135"/>
      <c r="W51" s="135"/>
      <c r="X51" s="137"/>
      <c r="Y51" s="137"/>
      <c r="Z51" s="137"/>
      <c r="AA51" s="137"/>
      <c r="AB51" s="137"/>
      <c r="AC51" s="137"/>
      <c r="AD51" s="137"/>
      <c r="AE51" s="137"/>
      <c r="AF51" s="137"/>
      <c r="AG51" s="137"/>
      <c r="AH51" s="137"/>
    </row>
    <row r="52" spans="1:34" s="44" customFormat="1" ht="18.5" customHeight="1">
      <c r="A52" s="131"/>
      <c r="B52" s="118" t="s">
        <v>386</v>
      </c>
      <c r="C52" s="161">
        <f>C53+C57+C63</f>
        <v>898.11599999999999</v>
      </c>
      <c r="D52" s="88"/>
      <c r="E52" s="150"/>
      <c r="F52" s="88"/>
      <c r="G52" s="88"/>
      <c r="H52" s="88"/>
      <c r="I52" s="182"/>
      <c r="J52" s="182"/>
      <c r="K52" s="182"/>
      <c r="L52" s="182"/>
      <c r="M52" s="182"/>
      <c r="N52" s="182"/>
      <c r="O52" s="182"/>
      <c r="P52" s="182"/>
      <c r="Q52" s="135"/>
      <c r="R52" s="135"/>
      <c r="S52" s="135"/>
      <c r="T52" s="135"/>
      <c r="U52" s="135"/>
      <c r="V52" s="135"/>
      <c r="W52" s="135"/>
      <c r="X52" s="84"/>
    </row>
    <row r="53" spans="1:34" s="44" customFormat="1" ht="16" customHeight="1">
      <c r="A53" s="131"/>
      <c r="B53" s="85" t="s">
        <v>293</v>
      </c>
      <c r="C53" s="161">
        <f>SUM(C54:C56)</f>
        <v>199</v>
      </c>
      <c r="D53" s="88"/>
      <c r="E53" s="150"/>
      <c r="F53" s="88"/>
      <c r="G53" s="88"/>
      <c r="H53" s="88"/>
      <c r="I53" s="182"/>
      <c r="J53" s="182"/>
      <c r="K53" s="182"/>
      <c r="L53" s="182"/>
      <c r="M53" s="182"/>
      <c r="N53" s="182"/>
      <c r="O53" s="182"/>
      <c r="P53" s="182"/>
      <c r="Q53" s="135"/>
      <c r="R53" s="135"/>
      <c r="S53" s="135"/>
      <c r="T53" s="135"/>
      <c r="U53" s="135"/>
      <c r="V53" s="135"/>
      <c r="W53" s="135"/>
      <c r="X53" s="84"/>
    </row>
    <row r="54" spans="1:34" s="44" customFormat="1" ht="20.5" customHeight="1">
      <c r="A54" s="131"/>
      <c r="B54" s="145" t="s">
        <v>289</v>
      </c>
      <c r="C54" s="161">
        <v>150</v>
      </c>
      <c r="D54" s="88"/>
      <c r="E54" s="150"/>
      <c r="F54" s="88"/>
      <c r="G54" s="88"/>
      <c r="H54" s="88"/>
      <c r="I54" s="182"/>
      <c r="J54" s="182"/>
      <c r="K54" s="182"/>
      <c r="L54" s="182"/>
      <c r="M54" s="182"/>
      <c r="N54" s="182"/>
      <c r="O54" s="182"/>
      <c r="P54" s="182"/>
      <c r="Q54" s="135"/>
      <c r="R54" s="135"/>
      <c r="S54" s="135"/>
      <c r="T54" s="135"/>
      <c r="U54" s="135"/>
      <c r="V54" s="135"/>
      <c r="W54" s="135"/>
      <c r="X54" s="84"/>
    </row>
    <row r="55" spans="1:34" s="44" customFormat="1" ht="16.5" customHeight="1">
      <c r="A55" s="131"/>
      <c r="B55" s="145" t="s">
        <v>290</v>
      </c>
      <c r="C55" s="132">
        <v>22</v>
      </c>
      <c r="D55" s="108"/>
      <c r="E55" s="150"/>
      <c r="F55" s="88"/>
      <c r="G55" s="88"/>
      <c r="H55" s="88"/>
      <c r="I55" s="182"/>
      <c r="J55" s="182"/>
      <c r="K55" s="182"/>
      <c r="L55" s="182"/>
      <c r="M55" s="182"/>
      <c r="N55" s="182"/>
      <c r="O55" s="182"/>
      <c r="P55" s="182"/>
      <c r="Q55" s="135"/>
      <c r="R55" s="135"/>
      <c r="S55" s="135"/>
      <c r="T55" s="135"/>
      <c r="U55" s="135"/>
      <c r="V55" s="135"/>
      <c r="W55" s="135"/>
      <c r="X55" s="84"/>
    </row>
    <row r="56" spans="1:34" s="131" customFormat="1" ht="15">
      <c r="B56" s="167" t="s">
        <v>291</v>
      </c>
      <c r="C56" s="161">
        <v>27</v>
      </c>
      <c r="D56" s="88"/>
      <c r="E56" s="150"/>
      <c r="F56" s="117"/>
      <c r="G56" s="88"/>
      <c r="H56" s="88"/>
      <c r="I56" s="182"/>
      <c r="J56" s="182"/>
      <c r="K56" s="182"/>
      <c r="L56" s="182"/>
      <c r="M56" s="182"/>
      <c r="N56" s="182"/>
      <c r="O56" s="182"/>
      <c r="P56" s="182"/>
      <c r="Q56" s="135"/>
      <c r="R56" s="135"/>
      <c r="S56" s="135"/>
      <c r="T56" s="135"/>
      <c r="U56" s="135"/>
      <c r="V56" s="135"/>
      <c r="W56" s="135"/>
      <c r="X56" s="137"/>
    </row>
    <row r="57" spans="1:34" s="131" customFormat="1" ht="15" customHeight="1">
      <c r="B57" s="168" t="s">
        <v>294</v>
      </c>
      <c r="C57" s="161">
        <f>SUM(C58:C62)</f>
        <v>150</v>
      </c>
      <c r="D57" s="88"/>
      <c r="E57" s="150"/>
      <c r="F57" s="88"/>
      <c r="G57" s="88"/>
      <c r="H57" s="88"/>
      <c r="I57" s="88"/>
      <c r="J57" s="135"/>
      <c r="K57" s="135"/>
      <c r="L57" s="135"/>
      <c r="M57" s="135"/>
      <c r="N57" s="135"/>
      <c r="O57" s="135"/>
      <c r="P57" s="135"/>
      <c r="Q57" s="135"/>
      <c r="R57" s="135"/>
      <c r="S57" s="135"/>
      <c r="T57" s="135"/>
      <c r="U57" s="135"/>
      <c r="V57" s="135"/>
      <c r="W57" s="135"/>
      <c r="X57" s="137"/>
    </row>
    <row r="58" spans="1:34" s="131" customFormat="1" ht="17" customHeight="1">
      <c r="A58" s="137"/>
      <c r="B58" s="167" t="s">
        <v>288</v>
      </c>
      <c r="C58" s="161">
        <f>'Response and Relief Act Score'!F7</f>
        <v>29</v>
      </c>
      <c r="D58" s="88"/>
      <c r="E58" s="150"/>
      <c r="F58" s="88"/>
      <c r="G58" s="88"/>
      <c r="H58" s="88"/>
      <c r="I58" s="88"/>
      <c r="J58" s="137"/>
      <c r="K58" s="137"/>
      <c r="L58" s="137"/>
      <c r="M58" s="137"/>
      <c r="N58" s="137"/>
      <c r="O58" s="137"/>
      <c r="P58" s="137"/>
      <c r="Q58" s="137"/>
      <c r="R58" s="137"/>
    </row>
    <row r="59" spans="1:34" s="131" customFormat="1" ht="15">
      <c r="A59" s="137"/>
      <c r="B59" s="145" t="s">
        <v>290</v>
      </c>
      <c r="C59" s="161">
        <f>'Response and Relief Act Score'!F5</f>
        <v>82</v>
      </c>
      <c r="D59" s="88"/>
      <c r="E59" s="150"/>
      <c r="F59" s="88"/>
      <c r="G59" s="88"/>
      <c r="H59" s="88"/>
      <c r="I59" s="133"/>
      <c r="J59" s="135"/>
      <c r="K59" s="135"/>
      <c r="L59" s="135"/>
      <c r="M59" s="135"/>
      <c r="N59" s="135"/>
      <c r="O59" s="135"/>
      <c r="P59" s="135"/>
      <c r="Q59" s="135"/>
      <c r="R59" s="135"/>
      <c r="S59" s="135"/>
      <c r="T59" s="135"/>
      <c r="U59" s="135"/>
      <c r="V59" s="135"/>
      <c r="W59" s="135"/>
      <c r="X59" s="137"/>
    </row>
    <row r="60" spans="1:34" s="131" customFormat="1" ht="15">
      <c r="A60" s="137"/>
      <c r="B60" s="145" t="s">
        <v>291</v>
      </c>
      <c r="C60" s="161">
        <f>'Response and Relief Act Score'!F6</f>
        <v>3</v>
      </c>
      <c r="D60" s="88"/>
      <c r="E60" s="150"/>
      <c r="F60" s="88"/>
      <c r="G60" s="88"/>
      <c r="H60" s="88"/>
      <c r="I60" s="133"/>
      <c r="J60" s="135"/>
      <c r="K60" s="135"/>
      <c r="L60" s="135"/>
      <c r="M60" s="135"/>
      <c r="N60" s="135"/>
      <c r="O60" s="135"/>
      <c r="P60" s="135"/>
      <c r="Q60" s="135"/>
      <c r="R60" s="135"/>
      <c r="S60" s="135"/>
      <c r="T60" s="135"/>
      <c r="U60" s="135"/>
      <c r="V60" s="135"/>
      <c r="W60" s="135"/>
      <c r="X60" s="137"/>
    </row>
    <row r="61" spans="1:34" s="131" customFormat="1" ht="15">
      <c r="A61" s="137"/>
      <c r="B61" s="145" t="s">
        <v>392</v>
      </c>
      <c r="C61" s="161">
        <f>'Response and Relief Act Score'!F9</f>
        <v>34</v>
      </c>
      <c r="D61" s="88"/>
      <c r="E61" s="150"/>
      <c r="F61" s="88"/>
      <c r="G61" s="88"/>
      <c r="H61" s="88"/>
      <c r="I61" s="180"/>
      <c r="J61" s="135"/>
      <c r="K61" s="135"/>
      <c r="L61" s="135"/>
      <c r="M61" s="135"/>
      <c r="N61" s="135"/>
      <c r="O61" s="135"/>
      <c r="P61" s="135"/>
      <c r="Q61" s="135"/>
      <c r="R61" s="135"/>
      <c r="S61" s="135"/>
      <c r="T61" s="135"/>
      <c r="U61" s="135"/>
      <c r="V61" s="135"/>
      <c r="W61" s="135"/>
      <c r="X61" s="137"/>
    </row>
    <row r="62" spans="1:34" s="131" customFormat="1" ht="12.5" customHeight="1">
      <c r="A62" s="137"/>
      <c r="B62" s="145" t="s">
        <v>389</v>
      </c>
      <c r="C62" s="161">
        <f>'Response and Relief Act Score'!F8</f>
        <v>2</v>
      </c>
      <c r="D62" s="133"/>
      <c r="E62" s="151"/>
      <c r="F62" s="133"/>
      <c r="G62" s="133"/>
      <c r="H62" s="133"/>
      <c r="I62" s="133"/>
      <c r="J62" s="135"/>
      <c r="K62" s="135"/>
      <c r="L62" s="135"/>
      <c r="M62" s="135"/>
      <c r="N62" s="135"/>
      <c r="O62" s="135"/>
      <c r="P62" s="135"/>
      <c r="Q62" s="135"/>
      <c r="R62" s="135"/>
      <c r="S62" s="135"/>
      <c r="T62" s="135"/>
      <c r="U62" s="135"/>
      <c r="V62" s="135"/>
      <c r="W62" s="135"/>
      <c r="X62" s="137"/>
    </row>
    <row r="63" spans="1:34" s="131" customFormat="1" ht="15">
      <c r="A63" s="157"/>
      <c r="B63" s="155" t="s">
        <v>347</v>
      </c>
      <c r="C63" s="164">
        <f>SUM(C64:C68)</f>
        <v>549.11599999999999</v>
      </c>
      <c r="D63" s="133"/>
      <c r="E63" s="151"/>
      <c r="F63" s="133"/>
      <c r="G63" s="133"/>
      <c r="H63" s="133"/>
      <c r="I63" s="133"/>
      <c r="J63" s="135"/>
      <c r="K63" s="135"/>
      <c r="L63" s="135"/>
      <c r="M63" s="135"/>
      <c r="N63" s="135"/>
      <c r="O63" s="135"/>
      <c r="P63" s="135"/>
      <c r="Q63" s="135"/>
      <c r="R63" s="135"/>
      <c r="S63" s="135"/>
      <c r="T63" s="135"/>
      <c r="U63" s="135"/>
      <c r="V63" s="135"/>
      <c r="W63" s="135"/>
      <c r="X63" s="137"/>
    </row>
    <row r="64" spans="1:34" s="131" customFormat="1" ht="16" customHeight="1">
      <c r="A64" s="157"/>
      <c r="B64" s="156" t="s">
        <v>367</v>
      </c>
      <c r="C64" s="164">
        <f>'ARP Score'!AJ16</f>
        <v>362.04999999999995</v>
      </c>
      <c r="D64" s="133"/>
      <c r="E64" s="151"/>
      <c r="F64" s="133"/>
      <c r="G64" s="133"/>
      <c r="H64" s="133"/>
      <c r="I64" s="133"/>
      <c r="J64" s="135"/>
      <c r="K64" s="135"/>
      <c r="L64" s="135"/>
      <c r="M64" s="135"/>
      <c r="N64" s="135"/>
      <c r="O64" s="135"/>
      <c r="P64" s="135"/>
      <c r="Q64" s="135"/>
      <c r="R64" s="135"/>
      <c r="S64" s="135"/>
      <c r="T64" s="135"/>
      <c r="U64" s="135"/>
      <c r="V64" s="135"/>
      <c r="W64" s="135"/>
      <c r="X64" s="137"/>
    </row>
    <row r="65" spans="1:32" s="131" customFormat="1" ht="15" customHeight="1">
      <c r="A65" s="1405"/>
      <c r="B65" s="156" t="s">
        <v>290</v>
      </c>
      <c r="C65" s="164">
        <f>'ARP Score'!AL16</f>
        <v>169.16899999999998</v>
      </c>
      <c r="D65" s="133"/>
      <c r="E65" s="151"/>
      <c r="F65" s="133"/>
      <c r="G65" s="133"/>
      <c r="H65" s="133"/>
      <c r="I65" s="133"/>
      <c r="J65" s="135"/>
      <c r="K65" s="135"/>
      <c r="L65" s="135"/>
      <c r="M65" s="135"/>
      <c r="N65" s="135"/>
      <c r="O65" s="135"/>
      <c r="P65" s="135"/>
      <c r="Q65" s="135"/>
      <c r="R65" s="135"/>
      <c r="S65" s="135"/>
      <c r="T65" s="135"/>
      <c r="U65" s="135"/>
      <c r="V65" s="135"/>
      <c r="W65" s="135"/>
      <c r="X65" s="137"/>
    </row>
    <row r="66" spans="1:32" s="131" customFormat="1" ht="15">
      <c r="A66" s="1405"/>
      <c r="B66" s="158" t="s">
        <v>291</v>
      </c>
      <c r="C66" s="164">
        <f>'ARP Score'!AK16</f>
        <v>8.5</v>
      </c>
      <c r="D66" s="133"/>
      <c r="E66" s="151"/>
      <c r="F66" s="133"/>
      <c r="G66" s="133"/>
      <c r="H66" s="133"/>
      <c r="I66" s="133"/>
      <c r="J66" s="135"/>
      <c r="K66" s="135"/>
      <c r="L66" s="135"/>
      <c r="M66" s="135"/>
      <c r="N66" s="135"/>
      <c r="O66" s="135"/>
      <c r="P66" s="135"/>
      <c r="Q66" s="135"/>
      <c r="R66" s="135"/>
      <c r="S66" s="135"/>
      <c r="T66" s="135"/>
      <c r="U66" s="135"/>
      <c r="V66" s="135"/>
      <c r="W66" s="135"/>
      <c r="X66" s="137"/>
    </row>
    <row r="67" spans="1:32" s="131" customFormat="1" ht="17" customHeight="1">
      <c r="A67" s="157"/>
      <c r="B67" s="156" t="s">
        <v>394</v>
      </c>
      <c r="C67" s="164">
        <f>'ARP Score'!AM16</f>
        <v>0.79700000000000004</v>
      </c>
      <c r="D67" s="133"/>
      <c r="E67" s="151"/>
      <c r="F67" s="133"/>
      <c r="G67" s="133"/>
      <c r="H67" s="133"/>
      <c r="I67" s="133"/>
      <c r="J67" s="135"/>
      <c r="K67" s="135"/>
      <c r="L67" s="135"/>
      <c r="M67" s="135"/>
      <c r="N67" s="135"/>
      <c r="O67" s="135"/>
      <c r="P67" s="135"/>
      <c r="Q67" s="135"/>
      <c r="R67" s="135"/>
      <c r="S67" s="135"/>
      <c r="T67" s="135"/>
      <c r="U67" s="135"/>
      <c r="V67" s="135"/>
      <c r="W67" s="135"/>
      <c r="X67" s="137"/>
    </row>
    <row r="68" spans="1:32" s="131" customFormat="1" ht="17" customHeight="1">
      <c r="A68" s="157"/>
      <c r="B68" s="159" t="s">
        <v>364</v>
      </c>
      <c r="C68" s="165">
        <f>'ARP Score'!AN16</f>
        <v>8.6</v>
      </c>
      <c r="D68" s="160"/>
      <c r="E68" s="152"/>
      <c r="F68" s="133"/>
      <c r="G68" s="133"/>
      <c r="H68" s="133"/>
      <c r="I68" s="133"/>
      <c r="J68" s="135"/>
      <c r="K68" s="135"/>
      <c r="L68" s="135"/>
      <c r="M68" s="135"/>
      <c r="N68" s="135"/>
      <c r="O68" s="135"/>
      <c r="P68" s="135"/>
      <c r="Q68" s="135"/>
      <c r="R68" s="135"/>
      <c r="S68" s="135"/>
      <c r="T68" s="135"/>
      <c r="U68" s="135"/>
      <c r="V68" s="135"/>
      <c r="W68" s="135"/>
      <c r="X68" s="137"/>
    </row>
    <row r="69" spans="1:32" s="131" customFormat="1" ht="17" customHeight="1">
      <c r="A69" s="137"/>
      <c r="B69" s="156"/>
      <c r="C69" s="116"/>
      <c r="D69" s="116"/>
      <c r="E69" s="116"/>
      <c r="F69" s="116"/>
      <c r="G69" s="116"/>
      <c r="H69" s="133"/>
      <c r="I69" s="133"/>
      <c r="J69" s="133"/>
      <c r="K69" s="133"/>
      <c r="L69" s="133"/>
      <c r="M69" s="133"/>
      <c r="N69" s="135"/>
      <c r="O69" s="135"/>
      <c r="P69" s="135"/>
      <c r="Q69" s="135"/>
      <c r="R69" s="135"/>
      <c r="S69" s="135"/>
      <c r="T69" s="135"/>
      <c r="U69" s="135"/>
      <c r="V69" s="135"/>
      <c r="W69" s="135"/>
      <c r="X69" s="135"/>
      <c r="Y69" s="135"/>
      <c r="Z69" s="135"/>
      <c r="AA69" s="135"/>
      <c r="AB69" s="135"/>
      <c r="AC69" s="135"/>
      <c r="AD69" s="135"/>
      <c r="AE69" s="135"/>
      <c r="AF69" s="137"/>
    </row>
    <row r="70" spans="1:32" s="131" customFormat="1" ht="17" customHeight="1">
      <c r="A70" s="137"/>
      <c r="B70" s="149" t="s">
        <v>402</v>
      </c>
      <c r="C70" s="116"/>
      <c r="D70" s="116"/>
      <c r="E70" s="116"/>
      <c r="F70" s="116"/>
      <c r="G70" s="116"/>
      <c r="H70" s="133"/>
      <c r="I70" s="133"/>
      <c r="J70" s="133"/>
      <c r="K70" s="133"/>
      <c r="L70" s="133"/>
      <c r="M70" s="133"/>
      <c r="N70" s="135"/>
      <c r="O70" s="135"/>
      <c r="P70" s="135"/>
      <c r="Q70" s="135"/>
      <c r="R70" s="135"/>
      <c r="S70" s="135"/>
      <c r="T70" s="135"/>
      <c r="U70" s="135"/>
      <c r="V70" s="135"/>
      <c r="W70" s="135"/>
      <c r="X70" s="135"/>
      <c r="Y70" s="135"/>
      <c r="Z70" s="135"/>
      <c r="AA70" s="135"/>
      <c r="AB70" s="135"/>
      <c r="AC70" s="135"/>
      <c r="AD70" s="135"/>
      <c r="AE70" s="135"/>
      <c r="AF70" s="137"/>
    </row>
    <row r="71" spans="1:32" s="131" customFormat="1" ht="14.5" customHeight="1">
      <c r="A71" s="137"/>
      <c r="B71" s="1390" t="s">
        <v>366</v>
      </c>
      <c r="C71" s="1391"/>
      <c r="D71" s="1402" t="s">
        <v>261</v>
      </c>
      <c r="E71" s="1403"/>
      <c r="F71" s="1403"/>
      <c r="G71" s="1403"/>
      <c r="H71" s="1403"/>
      <c r="I71" s="1403"/>
      <c r="J71" s="1403"/>
      <c r="K71" s="1403"/>
      <c r="L71" s="1403"/>
      <c r="M71" s="1403"/>
      <c r="N71" s="1404"/>
      <c r="O71" s="1398" t="s">
        <v>143</v>
      </c>
      <c r="P71" s="1399"/>
      <c r="Q71" s="1399"/>
      <c r="R71" s="1399"/>
      <c r="S71" s="1399"/>
      <c r="T71" s="1399"/>
      <c r="U71" s="1399"/>
      <c r="V71" s="1399"/>
      <c r="W71" s="1399"/>
      <c r="X71" s="1399"/>
      <c r="Y71" s="1399"/>
      <c r="Z71" s="1399"/>
      <c r="AA71" s="1399"/>
      <c r="AB71" s="1399"/>
      <c r="AC71" s="1400"/>
      <c r="AD71" s="303"/>
      <c r="AE71" s="303"/>
      <c r="AF71" s="137"/>
    </row>
    <row r="72" spans="1:32" s="44" customFormat="1">
      <c r="A72" s="131"/>
      <c r="B72" s="1392"/>
      <c r="C72" s="1393"/>
      <c r="D72" s="838">
        <v>2018</v>
      </c>
      <c r="E72" s="1373">
        <v>2019</v>
      </c>
      <c r="F72" s="1374"/>
      <c r="G72" s="1374"/>
      <c r="H72" s="1383"/>
      <c r="I72" s="1373">
        <v>2020</v>
      </c>
      <c r="J72" s="1374"/>
      <c r="K72" s="1374"/>
      <c r="L72" s="1383"/>
      <c r="M72" s="1373">
        <v>2021</v>
      </c>
      <c r="N72" s="1383"/>
      <c r="O72" s="1396">
        <v>2021</v>
      </c>
      <c r="P72" s="1385"/>
      <c r="Q72" s="1396">
        <v>2022</v>
      </c>
      <c r="R72" s="1384"/>
      <c r="S72" s="1384"/>
      <c r="T72" s="1385"/>
      <c r="U72" s="1396">
        <v>2023</v>
      </c>
      <c r="V72" s="1384"/>
      <c r="W72" s="1384"/>
      <c r="X72" s="1401"/>
      <c r="Y72" s="1396">
        <v>2024</v>
      </c>
      <c r="Z72" s="1401"/>
      <c r="AA72" s="1401"/>
      <c r="AB72" s="1385"/>
      <c r="AC72" s="475">
        <v>2025</v>
      </c>
      <c r="AD72" s="304"/>
      <c r="AE72" s="304"/>
    </row>
    <row r="73" spans="1:32" s="44" customFormat="1">
      <c r="A73" s="131"/>
      <c r="B73" s="1394"/>
      <c r="C73" s="1395"/>
      <c r="D73" s="224" t="s">
        <v>138</v>
      </c>
      <c r="E73" s="224" t="s">
        <v>135</v>
      </c>
      <c r="F73" s="200" t="s">
        <v>136</v>
      </c>
      <c r="G73" s="200" t="s">
        <v>137</v>
      </c>
      <c r="H73" s="208" t="s">
        <v>138</v>
      </c>
      <c r="I73" s="201" t="s">
        <v>135</v>
      </c>
      <c r="J73" s="201" t="s">
        <v>136</v>
      </c>
      <c r="K73" s="201" t="s">
        <v>137</v>
      </c>
      <c r="L73" s="201" t="s">
        <v>138</v>
      </c>
      <c r="M73" s="216" t="s">
        <v>135</v>
      </c>
      <c r="N73" s="208" t="s">
        <v>136</v>
      </c>
      <c r="O73" s="892" t="s">
        <v>137</v>
      </c>
      <c r="P73" s="893" t="s">
        <v>138</v>
      </c>
      <c r="Q73" s="891" t="s">
        <v>135</v>
      </c>
      <c r="R73" s="892" t="s">
        <v>136</v>
      </c>
      <c r="S73" s="892" t="s">
        <v>137</v>
      </c>
      <c r="T73" s="892" t="s">
        <v>138</v>
      </c>
      <c r="U73" s="891" t="s">
        <v>135</v>
      </c>
      <c r="V73" s="892" t="s">
        <v>136</v>
      </c>
      <c r="W73" s="892" t="s">
        <v>137</v>
      </c>
      <c r="X73" s="892" t="s">
        <v>138</v>
      </c>
      <c r="Y73" s="891" t="s">
        <v>135</v>
      </c>
      <c r="Z73" s="577" t="s">
        <v>136</v>
      </c>
      <c r="AA73" s="892" t="s">
        <v>137</v>
      </c>
      <c r="AB73" s="893" t="s">
        <v>138</v>
      </c>
      <c r="AC73" s="82" t="s">
        <v>135</v>
      </c>
      <c r="AD73" s="304"/>
      <c r="AE73" s="304"/>
    </row>
    <row r="74" spans="1:32" s="44" customFormat="1" ht="29" customHeight="1">
      <c r="A74" s="131"/>
      <c r="B74" s="685" t="s">
        <v>563</v>
      </c>
      <c r="C74" s="1035"/>
      <c r="D74" s="1036"/>
      <c r="E74" s="1035"/>
      <c r="F74" s="1035"/>
      <c r="G74" s="1035"/>
      <c r="H74" s="1037">
        <f t="shared" ref="H74:AC74" si="23">SUM(H76:H83)</f>
        <v>208.59399999999999</v>
      </c>
      <c r="I74" s="1037">
        <f t="shared" si="23"/>
        <v>212.48200000000003</v>
      </c>
      <c r="J74" s="1037">
        <f t="shared" si="23"/>
        <v>334.61</v>
      </c>
      <c r="K74" s="1037">
        <f t="shared" si="23"/>
        <v>301.78300000000002</v>
      </c>
      <c r="L74" s="1037">
        <f t="shared" si="23"/>
        <v>280.16300000000001</v>
      </c>
      <c r="M74" s="1037">
        <f t="shared" si="23"/>
        <v>310.15499999999997</v>
      </c>
      <c r="N74" s="1039">
        <f t="shared" si="23"/>
        <v>346.31500000000005</v>
      </c>
      <c r="O74" s="681">
        <f t="shared" si="23"/>
        <v>357.37317644110277</v>
      </c>
      <c r="P74" s="1040">
        <f t="shared" si="23"/>
        <v>393.13708782957406</v>
      </c>
      <c r="Q74" s="1040">
        <f t="shared" si="23"/>
        <v>401.59684440561404</v>
      </c>
      <c r="R74" s="1040">
        <f t="shared" si="23"/>
        <v>419.69377636126723</v>
      </c>
      <c r="S74" s="1040">
        <f t="shared" si="23"/>
        <v>438.34081535917659</v>
      </c>
      <c r="T74" s="1040">
        <f t="shared" si="23"/>
        <v>458.27990750346845</v>
      </c>
      <c r="U74" s="1040">
        <f t="shared" si="23"/>
        <v>478.97760180360723</v>
      </c>
      <c r="V74" s="1040">
        <f t="shared" si="23"/>
        <v>471.71644350775153</v>
      </c>
      <c r="W74" s="1040">
        <f t="shared" si="23"/>
        <v>479.39300748806158</v>
      </c>
      <c r="X74" s="1040">
        <f t="shared" si="23"/>
        <v>492.73634954758404</v>
      </c>
      <c r="Y74" s="1040">
        <f t="shared" si="23"/>
        <v>481.54983616948743</v>
      </c>
      <c r="Z74" s="1040">
        <f t="shared" si="23"/>
        <v>473.87554213626697</v>
      </c>
      <c r="AA74" s="1040">
        <f t="shared" si="23"/>
        <v>489.00698046171772</v>
      </c>
      <c r="AB74" s="1040">
        <f t="shared" si="23"/>
        <v>503.86304218018643</v>
      </c>
      <c r="AC74" s="682">
        <f t="shared" si="23"/>
        <v>511.23178213939389</v>
      </c>
      <c r="AD74" s="360"/>
      <c r="AE74" s="360"/>
    </row>
    <row r="75" spans="1:32" s="44" customFormat="1" ht="19" customHeight="1">
      <c r="A75" s="131"/>
      <c r="B75" s="118" t="s">
        <v>559</v>
      </c>
      <c r="C75" s="244"/>
      <c r="D75" s="1038"/>
      <c r="E75" s="244"/>
      <c r="F75" s="244"/>
      <c r="G75" s="244"/>
      <c r="H75" s="178"/>
      <c r="I75" s="178"/>
      <c r="J75" s="178"/>
      <c r="K75" s="178"/>
      <c r="L75" s="178"/>
      <c r="M75" s="178"/>
      <c r="N75" s="360"/>
      <c r="O75" s="683"/>
      <c r="P75" s="358"/>
      <c r="Q75" s="358"/>
      <c r="R75" s="358"/>
      <c r="S75" s="358"/>
      <c r="T75" s="358"/>
      <c r="U75" s="358"/>
      <c r="V75" s="358"/>
      <c r="W75" s="358"/>
      <c r="X75" s="358"/>
      <c r="Y75" s="358"/>
      <c r="Z75" s="358"/>
      <c r="AA75" s="358"/>
      <c r="AB75" s="358"/>
      <c r="AC75" s="359"/>
      <c r="AD75" s="360"/>
      <c r="AE75" s="360"/>
    </row>
    <row r="76" spans="1:32" s="44" customFormat="1" ht="15">
      <c r="A76" s="131"/>
      <c r="B76" s="95" t="s">
        <v>291</v>
      </c>
      <c r="C76" s="117"/>
      <c r="D76" s="672"/>
      <c r="E76" s="117"/>
      <c r="F76" s="117"/>
      <c r="G76" s="117"/>
      <c r="H76" s="97"/>
      <c r="I76" s="97"/>
      <c r="J76" s="97">
        <f t="shared" ref="J76:AC76" si="24">J14</f>
        <v>64.400000000000006</v>
      </c>
      <c r="K76" s="97">
        <f t="shared" si="24"/>
        <v>23.4</v>
      </c>
      <c r="L76" s="97">
        <f t="shared" si="24"/>
        <v>13.8</v>
      </c>
      <c r="M76" s="97">
        <f t="shared" si="24"/>
        <v>17.100000000000001</v>
      </c>
      <c r="N76" s="174">
        <f t="shared" si="24"/>
        <v>10.6</v>
      </c>
      <c r="O76" s="582">
        <f t="shared" si="24"/>
        <v>6.9139097744360907</v>
      </c>
      <c r="P76" s="583">
        <f t="shared" si="24"/>
        <v>5.4593984962406008</v>
      </c>
      <c r="Q76" s="583">
        <f t="shared" si="24"/>
        <v>4.6026315789473689</v>
      </c>
      <c r="R76" s="583">
        <f t="shared" si="24"/>
        <v>1.0161654135338345</v>
      </c>
      <c r="S76" s="583">
        <f t="shared" si="24"/>
        <v>1.0161654135338345</v>
      </c>
      <c r="T76" s="583">
        <f t="shared" si="24"/>
        <v>0</v>
      </c>
      <c r="U76" s="583">
        <f t="shared" si="24"/>
        <v>0</v>
      </c>
      <c r="V76" s="583">
        <f t="shared" si="24"/>
        <v>0</v>
      </c>
      <c r="W76" s="583">
        <f t="shared" si="24"/>
        <v>0</v>
      </c>
      <c r="X76" s="583">
        <f t="shared" si="24"/>
        <v>0</v>
      </c>
      <c r="Y76" s="583">
        <f t="shared" si="24"/>
        <v>0</v>
      </c>
      <c r="Z76" s="583">
        <f t="shared" si="24"/>
        <v>0</v>
      </c>
      <c r="AA76" s="583">
        <f t="shared" si="24"/>
        <v>0</v>
      </c>
      <c r="AB76" s="583">
        <f t="shared" si="24"/>
        <v>0</v>
      </c>
      <c r="AC76" s="584">
        <f t="shared" si="24"/>
        <v>0</v>
      </c>
      <c r="AD76" s="174"/>
      <c r="AE76" s="174"/>
    </row>
    <row r="77" spans="1:32" s="44" customFormat="1" ht="15">
      <c r="A77" s="131"/>
      <c r="B77" s="95" t="s">
        <v>288</v>
      </c>
      <c r="C77" s="117"/>
      <c r="D77" s="672"/>
      <c r="E77" s="117"/>
      <c r="F77" s="117"/>
      <c r="G77" s="117"/>
      <c r="H77" s="97"/>
      <c r="I77" s="97"/>
      <c r="J77" s="97"/>
      <c r="K77" s="97"/>
      <c r="L77" s="97"/>
      <c r="M77" s="97">
        <f>M29</f>
        <v>9.6666666666666661</v>
      </c>
      <c r="N77" s="174">
        <f t="shared" ref="N77:AC77" si="25">N29</f>
        <v>9.6666666666666661</v>
      </c>
      <c r="O77" s="582">
        <f t="shared" si="25"/>
        <v>9.6666666666666661</v>
      </c>
      <c r="P77" s="583">
        <f t="shared" si="25"/>
        <v>9.6666666666666661</v>
      </c>
      <c r="Q77" s="583">
        <f t="shared" si="25"/>
        <v>9.6666666666666661</v>
      </c>
      <c r="R77" s="583">
        <f t="shared" si="25"/>
        <v>9.6666666666666661</v>
      </c>
      <c r="S77" s="583">
        <f t="shared" si="25"/>
        <v>9.6666666666666661</v>
      </c>
      <c r="T77" s="583">
        <f t="shared" si="25"/>
        <v>9.6666666666666661</v>
      </c>
      <c r="U77" s="583">
        <f t="shared" si="25"/>
        <v>9.6666666666666661</v>
      </c>
      <c r="V77" s="583">
        <f t="shared" si="25"/>
        <v>9.6666666666666661</v>
      </c>
      <c r="W77" s="583">
        <f t="shared" si="25"/>
        <v>9.6666666666666661</v>
      </c>
      <c r="X77" s="583">
        <f t="shared" si="25"/>
        <v>9.6666666666666661</v>
      </c>
      <c r="Y77" s="583">
        <f t="shared" si="25"/>
        <v>0</v>
      </c>
      <c r="Z77" s="583">
        <f t="shared" si="25"/>
        <v>0</v>
      </c>
      <c r="AA77" s="583">
        <f t="shared" si="25"/>
        <v>0</v>
      </c>
      <c r="AB77" s="583">
        <f t="shared" si="25"/>
        <v>0</v>
      </c>
      <c r="AC77" s="584">
        <f t="shared" si="25"/>
        <v>0</v>
      </c>
      <c r="AD77" s="174"/>
      <c r="AE77" s="174"/>
    </row>
    <row r="78" spans="1:32" s="44" customFormat="1" ht="15">
      <c r="A78" s="131"/>
      <c r="B78" s="95" t="s">
        <v>714</v>
      </c>
      <c r="C78" s="117"/>
      <c r="D78" s="672"/>
      <c r="E78" s="117"/>
      <c r="F78" s="117"/>
      <c r="G78" s="117"/>
      <c r="H78" s="97"/>
      <c r="I78" s="97"/>
      <c r="J78" s="97"/>
      <c r="K78" s="97"/>
      <c r="L78" s="97"/>
      <c r="M78" s="97">
        <f t="shared" ref="M78:AC78" si="26">M16</f>
        <v>12</v>
      </c>
      <c r="N78" s="174">
        <f t="shared" si="26"/>
        <v>12</v>
      </c>
      <c r="O78" s="582">
        <f t="shared" si="26"/>
        <v>12</v>
      </c>
      <c r="P78" s="583">
        <f t="shared" si="26"/>
        <v>12</v>
      </c>
      <c r="Q78" s="583">
        <f t="shared" si="26"/>
        <v>12</v>
      </c>
      <c r="R78" s="583">
        <f t="shared" si="26"/>
        <v>12</v>
      </c>
      <c r="S78" s="583">
        <f t="shared" si="26"/>
        <v>12</v>
      </c>
      <c r="T78" s="583">
        <f t="shared" si="26"/>
        <v>12</v>
      </c>
      <c r="U78" s="583">
        <f t="shared" si="26"/>
        <v>12</v>
      </c>
      <c r="V78" s="583">
        <f t="shared" si="26"/>
        <v>12</v>
      </c>
      <c r="W78" s="583">
        <f t="shared" si="26"/>
        <v>12</v>
      </c>
      <c r="X78" s="583">
        <f t="shared" si="26"/>
        <v>12</v>
      </c>
      <c r="Y78" s="583">
        <f t="shared" si="26"/>
        <v>0</v>
      </c>
      <c r="Z78" s="583">
        <f t="shared" si="26"/>
        <v>0</v>
      </c>
      <c r="AA78" s="583">
        <f t="shared" si="26"/>
        <v>0</v>
      </c>
      <c r="AB78" s="583">
        <f t="shared" si="26"/>
        <v>0</v>
      </c>
      <c r="AC78" s="584">
        <f t="shared" si="26"/>
        <v>0</v>
      </c>
      <c r="AD78" s="174"/>
      <c r="AE78" s="174"/>
    </row>
    <row r="79" spans="1:32" s="84" customFormat="1" ht="15">
      <c r="A79" s="137"/>
      <c r="B79" s="95" t="s">
        <v>561</v>
      </c>
      <c r="C79" s="117"/>
      <c r="D79" s="672"/>
      <c r="E79" s="117"/>
      <c r="F79" s="117"/>
      <c r="G79" s="117"/>
      <c r="H79" s="363">
        <f t="shared" ref="H79:AC79" si="27">H20</f>
        <v>208.59399999999999</v>
      </c>
      <c r="I79" s="363">
        <f t="shared" si="27"/>
        <v>212.48200000000003</v>
      </c>
      <c r="J79" s="363">
        <f t="shared" si="27"/>
        <v>206.81000000000006</v>
      </c>
      <c r="K79" s="363">
        <f t="shared" si="27"/>
        <v>217.58300000000003</v>
      </c>
      <c r="L79" s="363">
        <f t="shared" si="27"/>
        <v>206.16300000000001</v>
      </c>
      <c r="M79" s="363">
        <f t="shared" si="27"/>
        <v>202.48833333333332</v>
      </c>
      <c r="N79" s="361">
        <f t="shared" si="27"/>
        <v>206.44833333333338</v>
      </c>
      <c r="O79" s="684">
        <f t="shared" si="27"/>
        <v>214.70626666666672</v>
      </c>
      <c r="P79" s="364">
        <f t="shared" si="27"/>
        <v>223.2945173333334</v>
      </c>
      <c r="Q79" s="364">
        <f t="shared" si="27"/>
        <v>232.22629802666674</v>
      </c>
      <c r="R79" s="364">
        <f t="shared" si="27"/>
        <v>241.51534994773343</v>
      </c>
      <c r="S79" s="364">
        <f t="shared" si="27"/>
        <v>251.17596394564276</v>
      </c>
      <c r="T79" s="364">
        <f t="shared" si="27"/>
        <v>261.22300250346848</v>
      </c>
      <c r="U79" s="364">
        <f t="shared" si="27"/>
        <v>271.67192260360724</v>
      </c>
      <c r="V79" s="364">
        <f t="shared" si="27"/>
        <v>282.53879950775155</v>
      </c>
      <c r="W79" s="364">
        <f t="shared" si="27"/>
        <v>293.84035148806163</v>
      </c>
      <c r="X79" s="364">
        <f t="shared" si="27"/>
        <v>305.59396554758411</v>
      </c>
      <c r="Y79" s="364">
        <f t="shared" si="27"/>
        <v>317.81772416948746</v>
      </c>
      <c r="Z79" s="364">
        <f t="shared" si="27"/>
        <v>330.53043313626699</v>
      </c>
      <c r="AA79" s="364">
        <f t="shared" si="27"/>
        <v>343.7516504617177</v>
      </c>
      <c r="AB79" s="364">
        <f t="shared" si="27"/>
        <v>357.50171648018642</v>
      </c>
      <c r="AC79" s="365">
        <f t="shared" si="27"/>
        <v>371.80178513939387</v>
      </c>
      <c r="AD79" s="361"/>
      <c r="AE79" s="361"/>
    </row>
    <row r="80" spans="1:32" s="44" customFormat="1" ht="14.5" customHeight="1">
      <c r="A80" s="131"/>
      <c r="B80" s="686" t="s">
        <v>560</v>
      </c>
      <c r="C80" s="117"/>
      <c r="D80" s="672"/>
      <c r="E80" s="117"/>
      <c r="F80" s="117"/>
      <c r="G80" s="117"/>
      <c r="H80" s="97"/>
      <c r="I80" s="97"/>
      <c r="J80" s="97"/>
      <c r="K80" s="97"/>
      <c r="L80" s="97"/>
      <c r="M80" s="97"/>
      <c r="N80" s="174"/>
      <c r="O80" s="582"/>
      <c r="P80" s="583"/>
      <c r="Q80" s="583"/>
      <c r="R80" s="583"/>
      <c r="S80" s="583"/>
      <c r="T80" s="583"/>
      <c r="U80" s="583"/>
      <c r="V80" s="583"/>
      <c r="W80" s="583"/>
      <c r="X80" s="583"/>
      <c r="Y80" s="583"/>
      <c r="Z80" s="583"/>
      <c r="AA80" s="583"/>
      <c r="AB80" s="583"/>
      <c r="AC80" s="584"/>
      <c r="AD80" s="174"/>
      <c r="AE80" s="174"/>
    </row>
    <row r="81" spans="1:32" s="44" customFormat="1" ht="14.5" customHeight="1">
      <c r="A81" s="131"/>
      <c r="B81" s="94" t="s">
        <v>290</v>
      </c>
      <c r="C81" s="117"/>
      <c r="D81" s="672"/>
      <c r="E81" s="117"/>
      <c r="F81" s="117"/>
      <c r="G81" s="117"/>
      <c r="H81" s="97"/>
      <c r="I81" s="97"/>
      <c r="J81" s="97">
        <f>J13</f>
        <v>28.4</v>
      </c>
      <c r="K81" s="97">
        <f t="shared" ref="K81:N81" si="28">K13</f>
        <v>15.8</v>
      </c>
      <c r="L81" s="97">
        <f t="shared" si="28"/>
        <v>15.2</v>
      </c>
      <c r="M81" s="97">
        <f t="shared" si="28"/>
        <v>28.9</v>
      </c>
      <c r="N81" s="174">
        <f t="shared" si="28"/>
        <v>67.599999999999994</v>
      </c>
      <c r="O81" s="582">
        <f>O26+O30+'ARP Quarterly'!E28</f>
        <v>49.0863333333333</v>
      </c>
      <c r="P81" s="583">
        <f>P26+P30+'ARP Quarterly'!F28</f>
        <v>43.095653333333331</v>
      </c>
      <c r="Q81" s="583">
        <f>Q26+Q30+'ARP Quarterly'!G28</f>
        <v>42.104973333333305</v>
      </c>
      <c r="R81" s="583">
        <f>R26+R30+'ARP Quarterly'!H28</f>
        <v>46.145562333333302</v>
      </c>
      <c r="S81" s="583">
        <f>S26+S30+'ARP Quarterly'!I28</f>
        <v>50.186151333333306</v>
      </c>
      <c r="T81" s="583">
        <f>T26+T30+'ARP Quarterly'!J28</f>
        <v>52.851310333333302</v>
      </c>
      <c r="U81" s="583">
        <f>U26+U30+'ARP Quarterly'!K28</f>
        <v>55.516469333333305</v>
      </c>
      <c r="V81" s="583">
        <f>V26+V30+'ARP Quarterly'!L28</f>
        <v>58.594257333333303</v>
      </c>
      <c r="W81" s="583">
        <f>W26+W30+'ARP Quarterly'!M28</f>
        <v>61.672045333333294</v>
      </c>
      <c r="X81" s="583">
        <f>X26+X30+'ARP Quarterly'!N28</f>
        <v>63.261773333333295</v>
      </c>
      <c r="Y81" s="583">
        <f>Y26+Y30+'ARP Quarterly'!O28</f>
        <v>61.518167999999996</v>
      </c>
      <c r="Z81" s="583">
        <f>Z26+Z30+'ARP Quarterly'!P28</f>
        <v>44.428388999999996</v>
      </c>
      <c r="AA81" s="583">
        <f>AA26+AA30+'ARP Quarterly'!Q28</f>
        <v>46.338610000000003</v>
      </c>
      <c r="AB81" s="583">
        <f>AB26+AB30+'ARP Quarterly'!R28</f>
        <v>47.279744500000007</v>
      </c>
      <c r="AC81" s="584">
        <f>AC26+AC30+'ARP Quarterly'!S28</f>
        <v>46.283419000000009</v>
      </c>
      <c r="AD81" s="174"/>
      <c r="AE81" s="174"/>
    </row>
    <row r="82" spans="1:32" s="44" customFormat="1" ht="15">
      <c r="A82" s="131"/>
      <c r="B82" s="94" t="s">
        <v>289</v>
      </c>
      <c r="C82" s="362"/>
      <c r="D82" s="702"/>
      <c r="E82" s="362"/>
      <c r="F82" s="362"/>
      <c r="G82" s="362"/>
      <c r="H82" s="97"/>
      <c r="I82" s="97"/>
      <c r="J82" s="97">
        <v>35</v>
      </c>
      <c r="K82" s="97">
        <v>45</v>
      </c>
      <c r="L82" s="97">
        <v>45</v>
      </c>
      <c r="M82" s="97">
        <v>40</v>
      </c>
      <c r="N82" s="174">
        <v>40</v>
      </c>
      <c r="O82" s="582">
        <v>65</v>
      </c>
      <c r="P82" s="583">
        <v>65</v>
      </c>
      <c r="Q82" s="583">
        <v>55</v>
      </c>
      <c r="R82" s="583">
        <v>50</v>
      </c>
      <c r="S82" s="583">
        <v>50</v>
      </c>
      <c r="T82" s="583">
        <v>50</v>
      </c>
      <c r="U82" s="583">
        <v>50</v>
      </c>
      <c r="V82" s="583">
        <v>10</v>
      </c>
      <c r="W82" s="583"/>
      <c r="X82" s="583"/>
      <c r="Y82" s="583"/>
      <c r="Z82" s="583"/>
      <c r="AA82" s="583"/>
      <c r="AB82" s="583"/>
      <c r="AC82" s="584"/>
    </row>
    <row r="83" spans="1:32" s="44" customFormat="1" ht="28.5" customHeight="1">
      <c r="A83" s="131"/>
      <c r="B83" s="1145" t="s">
        <v>1028</v>
      </c>
      <c r="C83" s="952"/>
      <c r="D83" s="951"/>
      <c r="E83" s="952"/>
      <c r="F83" s="952"/>
      <c r="G83" s="952"/>
      <c r="H83" s="1024"/>
      <c r="I83" s="1024"/>
      <c r="J83" s="1024"/>
      <c r="K83" s="1024"/>
      <c r="L83" s="1024"/>
      <c r="M83" s="1024"/>
      <c r="N83" s="1024">
        <f>'ARP Quarterly'!D47</f>
        <v>0</v>
      </c>
      <c r="O83" s="1142">
        <f>'ARP Quarterly'!E47</f>
        <v>0</v>
      </c>
      <c r="P83" s="1143">
        <f>'ARP Quarterly'!F47</f>
        <v>34.620851999999999</v>
      </c>
      <c r="Q83" s="1143">
        <f>'ARP Quarterly'!G47</f>
        <v>45.996274799999995</v>
      </c>
      <c r="R83" s="1143">
        <f>'ARP Quarterly'!H47</f>
        <v>59.350031999999992</v>
      </c>
      <c r="S83" s="1143">
        <f>'ARP Quarterly'!I47</f>
        <v>64.295867999999999</v>
      </c>
      <c r="T83" s="1143">
        <f>'ARP Quarterly'!J47</f>
        <v>72.538927999999999</v>
      </c>
      <c r="U83" s="1143">
        <f>'ARP Quarterly'!K47</f>
        <v>80.122543199999996</v>
      </c>
      <c r="V83" s="1143">
        <f>'ARP Quarterly'!L47</f>
        <v>98.916719999999998</v>
      </c>
      <c r="W83" s="1143">
        <f>'ARP Quarterly'!M47</f>
        <v>102.213944</v>
      </c>
      <c r="X83" s="1143">
        <f>'ARP Quarterly'!N47</f>
        <v>102.213944</v>
      </c>
      <c r="Y83" s="1143">
        <f>'ARP Quarterly'!O47</f>
        <v>102.213944</v>
      </c>
      <c r="Z83" s="1143">
        <f>'ARP Quarterly'!P47</f>
        <v>98.916719999999998</v>
      </c>
      <c r="AA83" s="1143">
        <f>'ARP Quarterly'!Q47</f>
        <v>98.916719999999998</v>
      </c>
      <c r="AB83" s="1143">
        <f>'ARP Quarterly'!R47</f>
        <v>99.081581199999988</v>
      </c>
      <c r="AC83" s="1144">
        <f>'ARP Quarterly'!S47</f>
        <v>93.146578000000005</v>
      </c>
    </row>
    <row r="85" spans="1:32" ht="12.5" customHeight="1">
      <c r="I85" s="1139"/>
      <c r="J85" s="1139"/>
      <c r="K85" s="1139"/>
      <c r="L85" s="1139"/>
      <c r="M85" s="1139"/>
      <c r="N85" s="1139"/>
      <c r="O85" s="1139"/>
      <c r="P85" s="1139"/>
      <c r="Q85" s="1139"/>
      <c r="R85" s="1139"/>
      <c r="S85" s="1139"/>
      <c r="T85" s="1139"/>
      <c r="U85" s="1139"/>
      <c r="V85" s="1139"/>
      <c r="W85" s="1139"/>
      <c r="X85" s="1139"/>
      <c r="Y85" s="1139"/>
      <c r="Z85" s="1139"/>
      <c r="AA85" s="1139"/>
      <c r="AB85" s="1139"/>
      <c r="AC85" s="1139"/>
      <c r="AD85" s="306"/>
      <c r="AE85" s="306"/>
    </row>
    <row r="86" spans="1:32">
      <c r="V86" s="120"/>
      <c r="W86" s="120"/>
      <c r="X86" s="120"/>
      <c r="Y86" s="120"/>
      <c r="Z86" s="120"/>
      <c r="AA86" s="120"/>
      <c r="AB86" s="120"/>
      <c r="AC86" s="120"/>
      <c r="AD86" s="120"/>
      <c r="AE86" s="120"/>
    </row>
    <row r="87" spans="1:32">
      <c r="B87" s="1372" t="s">
        <v>6</v>
      </c>
      <c r="C87" s="1372"/>
      <c r="D87" s="1372"/>
      <c r="E87" s="1372"/>
      <c r="F87" s="1372"/>
      <c r="G87" s="1372"/>
      <c r="H87" s="1372"/>
      <c r="I87" s="1372"/>
      <c r="J87" s="1372"/>
      <c r="K87" s="1372"/>
      <c r="L87" s="1372"/>
      <c r="M87" s="1372"/>
      <c r="N87" s="1372"/>
      <c r="O87" s="1372"/>
      <c r="P87" s="1372"/>
      <c r="Q87" s="1372"/>
      <c r="R87" s="1372"/>
      <c r="S87" s="1372"/>
      <c r="T87" s="1372"/>
      <c r="U87" s="1372"/>
      <c r="V87" s="1372"/>
      <c r="W87" s="1372"/>
      <c r="X87" s="1372"/>
      <c r="Y87" s="1372"/>
      <c r="Z87" s="834"/>
      <c r="AA87" s="890"/>
      <c r="AB87" s="890"/>
      <c r="AC87" s="890"/>
      <c r="AD87" s="674"/>
      <c r="AE87" s="674"/>
    </row>
    <row r="88" spans="1:32" ht="19" customHeight="1">
      <c r="B88" s="1397" t="s">
        <v>1006</v>
      </c>
      <c r="C88" s="1397"/>
      <c r="D88" s="1397"/>
      <c r="E88" s="1397"/>
      <c r="F88" s="1397"/>
      <c r="G88" s="1397"/>
      <c r="H88" s="1397"/>
      <c r="I88" s="1397"/>
      <c r="J88" s="1397"/>
      <c r="K88" s="1397"/>
      <c r="L88" s="1397"/>
      <c r="M88" s="1397"/>
      <c r="N88" s="1397"/>
      <c r="O88" s="1397"/>
      <c r="P88" s="1397"/>
      <c r="Q88" s="1397"/>
      <c r="R88" s="1397"/>
      <c r="S88" s="1397"/>
      <c r="T88" s="1397"/>
      <c r="U88" s="1397"/>
      <c r="V88" s="1397"/>
      <c r="W88" s="1397"/>
      <c r="X88" s="1397"/>
      <c r="Y88" s="1397"/>
      <c r="Z88" s="1397"/>
      <c r="AA88" s="1397"/>
      <c r="AB88" s="1397"/>
      <c r="AC88" s="1397"/>
      <c r="AD88" s="305"/>
      <c r="AE88" s="305"/>
    </row>
    <row r="89" spans="1:32" ht="11.5" customHeight="1">
      <c r="B89" s="74"/>
      <c r="C89" s="74"/>
      <c r="D89" s="643"/>
      <c r="E89" s="643"/>
      <c r="F89" s="643"/>
      <c r="G89" s="643"/>
      <c r="H89" s="74"/>
      <c r="I89" s="74"/>
      <c r="J89" s="74"/>
      <c r="K89" s="74"/>
      <c r="L89" s="74"/>
      <c r="M89" s="74"/>
      <c r="V89" s="148"/>
      <c r="W89" s="148"/>
      <c r="X89" s="148"/>
      <c r="Y89" s="148"/>
      <c r="Z89" s="853"/>
      <c r="AA89" s="897"/>
      <c r="AB89" s="897"/>
      <c r="AC89" s="897"/>
      <c r="AD89" s="649"/>
      <c r="AE89" s="649"/>
      <c r="AF89" s="120"/>
    </row>
    <row r="90" spans="1:32" ht="14.5" customHeight="1">
      <c r="B90" s="1390" t="s">
        <v>260</v>
      </c>
      <c r="C90" s="1391"/>
      <c r="D90" s="1402" t="s">
        <v>261</v>
      </c>
      <c r="E90" s="1403"/>
      <c r="F90" s="1403"/>
      <c r="G90" s="1403"/>
      <c r="H90" s="1403"/>
      <c r="I90" s="1403"/>
      <c r="J90" s="1403"/>
      <c r="K90" s="1403"/>
      <c r="L90" s="1403"/>
      <c r="M90" s="1403"/>
      <c r="N90" s="1404"/>
      <c r="O90" s="1398" t="s">
        <v>143</v>
      </c>
      <c r="P90" s="1399"/>
      <c r="Q90" s="1399"/>
      <c r="R90" s="1399"/>
      <c r="S90" s="1399"/>
      <c r="T90" s="1399"/>
      <c r="U90" s="1399"/>
      <c r="V90" s="1399"/>
      <c r="W90" s="1399"/>
      <c r="X90" s="1399"/>
      <c r="Y90" s="1399"/>
      <c r="Z90" s="1399"/>
      <c r="AA90" s="1399"/>
      <c r="AB90" s="1399"/>
      <c r="AC90" s="1400"/>
      <c r="AD90" s="647"/>
      <c r="AE90" s="647"/>
      <c r="AF90" s="120"/>
    </row>
    <row r="91" spans="1:32">
      <c r="B91" s="1392"/>
      <c r="C91" s="1393"/>
      <c r="D91" s="838">
        <v>2018</v>
      </c>
      <c r="E91" s="1373">
        <v>2019</v>
      </c>
      <c r="F91" s="1374"/>
      <c r="G91" s="1374"/>
      <c r="H91" s="1383"/>
      <c r="I91" s="1373">
        <v>2020</v>
      </c>
      <c r="J91" s="1374"/>
      <c r="K91" s="1374"/>
      <c r="L91" s="1383"/>
      <c r="M91" s="1373">
        <v>2021</v>
      </c>
      <c r="N91" s="1383"/>
      <c r="O91" s="1396">
        <v>2021</v>
      </c>
      <c r="P91" s="1385"/>
      <c r="Q91" s="1396">
        <v>2022</v>
      </c>
      <c r="R91" s="1384"/>
      <c r="S91" s="1384"/>
      <c r="T91" s="1385"/>
      <c r="U91" s="1396">
        <v>2023</v>
      </c>
      <c r="V91" s="1384"/>
      <c r="W91" s="1384"/>
      <c r="X91" s="1401"/>
      <c r="Y91" s="1396">
        <v>2024</v>
      </c>
      <c r="Z91" s="1401"/>
      <c r="AA91" s="1401"/>
      <c r="AB91" s="1385"/>
      <c r="AC91" s="475">
        <v>2025</v>
      </c>
      <c r="AD91" s="675"/>
      <c r="AE91" s="675"/>
      <c r="AF91" s="120"/>
    </row>
    <row r="92" spans="1:32">
      <c r="B92" s="1394"/>
      <c r="C92" s="1395"/>
      <c r="D92" s="224" t="s">
        <v>138</v>
      </c>
      <c r="E92" s="224" t="s">
        <v>135</v>
      </c>
      <c r="F92" s="200" t="s">
        <v>136</v>
      </c>
      <c r="G92" s="200" t="s">
        <v>137</v>
      </c>
      <c r="H92" s="208" t="s">
        <v>138</v>
      </c>
      <c r="I92" s="201" t="s">
        <v>135</v>
      </c>
      <c r="J92" s="201" t="s">
        <v>136</v>
      </c>
      <c r="K92" s="201" t="s">
        <v>137</v>
      </c>
      <c r="L92" s="201" t="s">
        <v>138</v>
      </c>
      <c r="M92" s="216" t="s">
        <v>135</v>
      </c>
      <c r="N92" s="208" t="s">
        <v>136</v>
      </c>
      <c r="O92" s="892" t="s">
        <v>137</v>
      </c>
      <c r="P92" s="893" t="s">
        <v>138</v>
      </c>
      <c r="Q92" s="891" t="s">
        <v>135</v>
      </c>
      <c r="R92" s="892" t="s">
        <v>136</v>
      </c>
      <c r="S92" s="892" t="s">
        <v>137</v>
      </c>
      <c r="T92" s="892" t="s">
        <v>138</v>
      </c>
      <c r="U92" s="891" t="s">
        <v>135</v>
      </c>
      <c r="V92" s="892" t="s">
        <v>136</v>
      </c>
      <c r="W92" s="892" t="s">
        <v>137</v>
      </c>
      <c r="X92" s="892" t="s">
        <v>138</v>
      </c>
      <c r="Y92" s="891" t="s">
        <v>135</v>
      </c>
      <c r="Z92" s="577" t="s">
        <v>136</v>
      </c>
      <c r="AA92" s="892" t="s">
        <v>137</v>
      </c>
      <c r="AB92" s="893" t="s">
        <v>138</v>
      </c>
      <c r="AC92" s="82" t="s">
        <v>135</v>
      </c>
      <c r="AD92" s="648"/>
      <c r="AE92" s="648"/>
      <c r="AF92" s="120"/>
    </row>
    <row r="93" spans="1:32" ht="15">
      <c r="B93" s="676" t="s">
        <v>284</v>
      </c>
      <c r="C93" s="677" t="s">
        <v>237</v>
      </c>
      <c r="D93" s="678"/>
      <c r="E93" s="679"/>
      <c r="F93" s="679"/>
      <c r="G93" s="679"/>
      <c r="H93" s="680">
        <f>'Haver Pivoted'!GS41</f>
        <v>70.894000000000005</v>
      </c>
      <c r="I93" s="680">
        <f>'Haver Pivoted'!GT41</f>
        <v>72.774000000000001</v>
      </c>
      <c r="J93" s="680">
        <f>'Haver Pivoted'!GU41</f>
        <v>75.275000000000006</v>
      </c>
      <c r="K93" s="680">
        <f>'Haver Pivoted'!GV41</f>
        <v>78.766999999999996</v>
      </c>
      <c r="L93" s="680">
        <f>'Haver Pivoted'!GW41</f>
        <v>76.995000000000005</v>
      </c>
      <c r="M93" s="680">
        <f>'Haver Pivoted'!GX41</f>
        <v>75.03</v>
      </c>
      <c r="N93" s="680">
        <f>'Haver Pivoted'!GY41</f>
        <v>76.701999999999998</v>
      </c>
      <c r="O93" s="1047">
        <f>AVERAGE($H$93:$N$93)</f>
        <v>75.205285714285722</v>
      </c>
      <c r="P93" s="1223">
        <f t="shared" ref="P93:AC93" si="29">AVERAGE($H$93:$N$93)</f>
        <v>75.205285714285722</v>
      </c>
      <c r="Q93" s="1223">
        <f t="shared" si="29"/>
        <v>75.205285714285722</v>
      </c>
      <c r="R93" s="1223">
        <f t="shared" si="29"/>
        <v>75.205285714285722</v>
      </c>
      <c r="S93" s="1223">
        <f t="shared" si="29"/>
        <v>75.205285714285722</v>
      </c>
      <c r="T93" s="1223">
        <f t="shared" si="29"/>
        <v>75.205285714285722</v>
      </c>
      <c r="U93" s="1223">
        <f t="shared" si="29"/>
        <v>75.205285714285722</v>
      </c>
      <c r="V93" s="1223">
        <f t="shared" si="29"/>
        <v>75.205285714285722</v>
      </c>
      <c r="W93" s="1223">
        <f t="shared" si="29"/>
        <v>75.205285714285722</v>
      </c>
      <c r="X93" s="1223">
        <f t="shared" si="29"/>
        <v>75.205285714285722</v>
      </c>
      <c r="Y93" s="1223">
        <f t="shared" si="29"/>
        <v>75.205285714285722</v>
      </c>
      <c r="Z93" s="1223">
        <f t="shared" si="29"/>
        <v>75.205285714285722</v>
      </c>
      <c r="AA93" s="1223">
        <f t="shared" si="29"/>
        <v>75.205285714285722</v>
      </c>
      <c r="AB93" s="1223">
        <f t="shared" si="29"/>
        <v>75.205285714285722</v>
      </c>
      <c r="AC93" s="1224">
        <f t="shared" si="29"/>
        <v>75.205285714285722</v>
      </c>
      <c r="AD93" s="512"/>
      <c r="AE93" s="512"/>
      <c r="AF93" s="120"/>
    </row>
    <row r="94" spans="1:32">
      <c r="AD94" s="120"/>
      <c r="AE94" s="120"/>
      <c r="AF94" s="120"/>
    </row>
    <row r="95" spans="1:32" ht="11" customHeight="1">
      <c r="AD95" s="120"/>
      <c r="AE95" s="120"/>
      <c r="AF95" s="120"/>
    </row>
    <row r="96" spans="1:32" hidden="1"/>
  </sheetData>
  <mergeCells count="45">
    <mergeCell ref="AE24:AF24"/>
    <mergeCell ref="AE28:AF29"/>
    <mergeCell ref="AE34:AF34"/>
    <mergeCell ref="B1:Y1"/>
    <mergeCell ref="B6:C8"/>
    <mergeCell ref="I7:L7"/>
    <mergeCell ref="Q7:T7"/>
    <mergeCell ref="AD6:AD8"/>
    <mergeCell ref="AE6:AE8"/>
    <mergeCell ref="U7:X7"/>
    <mergeCell ref="E7:H7"/>
    <mergeCell ref="D6:N6"/>
    <mergeCell ref="B23:AC23"/>
    <mergeCell ref="M7:N7"/>
    <mergeCell ref="O7:P7"/>
    <mergeCell ref="Y7:AB7"/>
    <mergeCell ref="U91:X91"/>
    <mergeCell ref="E91:H91"/>
    <mergeCell ref="D90:N90"/>
    <mergeCell ref="M91:N91"/>
    <mergeCell ref="O91:P91"/>
    <mergeCell ref="O90:AC90"/>
    <mergeCell ref="Y91:AB91"/>
    <mergeCell ref="E72:H72"/>
    <mergeCell ref="A65:A66"/>
    <mergeCell ref="Q47:AH47"/>
    <mergeCell ref="Q48:S48"/>
    <mergeCell ref="T48:Y48"/>
    <mergeCell ref="AD48:AG48"/>
    <mergeCell ref="B90:C92"/>
    <mergeCell ref="I91:L91"/>
    <mergeCell ref="Q91:T91"/>
    <mergeCell ref="B2:AC4"/>
    <mergeCell ref="B88:AC88"/>
    <mergeCell ref="O6:AC6"/>
    <mergeCell ref="O71:AC71"/>
    <mergeCell ref="Y72:AB72"/>
    <mergeCell ref="M72:N72"/>
    <mergeCell ref="O72:P72"/>
    <mergeCell ref="D71:N71"/>
    <mergeCell ref="B71:C73"/>
    <mergeCell ref="I72:L72"/>
    <mergeCell ref="Q72:T72"/>
    <mergeCell ref="U72:X72"/>
    <mergeCell ref="B87:Y87"/>
  </mergeCells>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43B00-EB7F-4E50-8C2C-BC5172EA2C65}">
  <dimension ref="B1:BF62"/>
  <sheetViews>
    <sheetView topLeftCell="B1" zoomScale="42" zoomScaleNormal="135" workbookViewId="0">
      <selection activeCell="V33" sqref="V33"/>
    </sheetView>
  </sheetViews>
  <sheetFormatPr baseColWidth="10" defaultColWidth="8.6640625" defaultRowHeight="14"/>
  <cols>
    <col min="1" max="1" width="8.6640625" style="36"/>
    <col min="2" max="2" width="44.5" style="36" customWidth="1"/>
    <col min="3" max="3" width="13.33203125" style="36" customWidth="1"/>
    <col min="4" max="7" width="10" style="302" customWidth="1"/>
    <col min="8" max="13" width="8.6640625" style="36"/>
    <col min="14" max="19" width="9" style="36" bestFit="1" customWidth="1"/>
    <col min="20" max="21" width="8.83203125" style="36" bestFit="1" customWidth="1"/>
    <col min="22" max="25" width="8.83203125" style="252" customWidth="1"/>
    <col min="26" max="26" width="8.83203125" style="302" customWidth="1"/>
    <col min="27" max="38" width="8.6640625" style="36"/>
    <col min="39" max="39" width="31.83203125" style="36" customWidth="1"/>
    <col min="40" max="40" width="8.6640625" style="36"/>
    <col min="41" max="41" width="10.1640625" style="36" bestFit="1" customWidth="1"/>
    <col min="42" max="16384" width="8.6640625" style="36"/>
  </cols>
  <sheetData>
    <row r="1" spans="2:47" ht="20" customHeight="1">
      <c r="B1" s="1372" t="s">
        <v>144</v>
      </c>
      <c r="C1" s="1372"/>
      <c r="D1" s="1372"/>
      <c r="E1" s="1372"/>
      <c r="F1" s="1372"/>
      <c r="G1" s="1372"/>
      <c r="H1" s="1372"/>
      <c r="I1" s="1372"/>
      <c r="J1" s="1372"/>
      <c r="K1" s="1372"/>
      <c r="L1" s="1372"/>
      <c r="M1" s="1372"/>
      <c r="N1" s="1372"/>
      <c r="O1" s="1372"/>
      <c r="P1" s="1372"/>
      <c r="Q1" s="1372"/>
      <c r="R1" s="1372"/>
      <c r="S1" s="1372"/>
      <c r="T1" s="1372"/>
      <c r="U1" s="1372"/>
      <c r="V1" s="1372"/>
      <c r="W1" s="1372"/>
      <c r="X1" s="1372"/>
      <c r="Y1" s="1372"/>
      <c r="Z1" s="1372"/>
      <c r="AA1" s="1372"/>
      <c r="AB1" s="1372"/>
      <c r="AC1" s="1372"/>
    </row>
    <row r="2" spans="2:47" ht="14" customHeight="1">
      <c r="B2" s="1370" t="s">
        <v>1092</v>
      </c>
      <c r="C2" s="1370"/>
      <c r="D2" s="1370"/>
      <c r="E2" s="1370"/>
      <c r="F2" s="1370"/>
      <c r="G2" s="1370"/>
      <c r="H2" s="1370"/>
      <c r="I2" s="1370"/>
      <c r="J2" s="1370"/>
      <c r="K2" s="1370"/>
      <c r="L2" s="1370"/>
      <c r="M2" s="1370"/>
      <c r="N2" s="1370"/>
      <c r="O2" s="1370"/>
      <c r="P2" s="1370"/>
      <c r="Q2" s="1370"/>
      <c r="R2" s="1370"/>
      <c r="S2" s="1370"/>
      <c r="T2" s="1370"/>
      <c r="U2" s="1370"/>
      <c r="V2" s="1370"/>
      <c r="W2" s="1370"/>
      <c r="X2" s="1370"/>
      <c r="Y2" s="1370"/>
      <c r="Z2" s="1370"/>
      <c r="AA2" s="1370"/>
      <c r="AB2" s="1370"/>
      <c r="AC2" s="1370"/>
    </row>
    <row r="3" spans="2:47" ht="9" customHeight="1">
      <c r="B3" s="1370"/>
      <c r="C3" s="1370"/>
      <c r="D3" s="1370"/>
      <c r="E3" s="1370"/>
      <c r="F3" s="1370"/>
      <c r="G3" s="1370"/>
      <c r="H3" s="1370"/>
      <c r="I3" s="1370"/>
      <c r="J3" s="1370"/>
      <c r="K3" s="1370"/>
      <c r="L3" s="1370"/>
      <c r="M3" s="1370"/>
      <c r="N3" s="1370"/>
      <c r="O3" s="1370"/>
      <c r="P3" s="1370"/>
      <c r="Q3" s="1370"/>
      <c r="R3" s="1370"/>
      <c r="S3" s="1370"/>
      <c r="T3" s="1370"/>
      <c r="U3" s="1370"/>
      <c r="V3" s="1370"/>
      <c r="W3" s="1370"/>
      <c r="X3" s="1370"/>
      <c r="Y3" s="1370"/>
      <c r="Z3" s="1370"/>
      <c r="AA3" s="1370"/>
      <c r="AB3" s="1370"/>
      <c r="AC3" s="1370"/>
    </row>
    <row r="4" spans="2:47" ht="27" customHeight="1">
      <c r="B4" s="1370"/>
      <c r="C4" s="1370"/>
      <c r="D4" s="1370"/>
      <c r="E4" s="1370"/>
      <c r="F4" s="1370"/>
      <c r="G4" s="1370"/>
      <c r="H4" s="1370"/>
      <c r="I4" s="1370"/>
      <c r="J4" s="1370"/>
      <c r="K4" s="1370"/>
      <c r="L4" s="1370"/>
      <c r="M4" s="1370"/>
      <c r="N4" s="1370"/>
      <c r="O4" s="1370"/>
      <c r="P4" s="1370"/>
      <c r="Q4" s="1370"/>
      <c r="R4" s="1370"/>
      <c r="S4" s="1370"/>
      <c r="T4" s="1370"/>
      <c r="U4" s="1370"/>
      <c r="V4" s="1370"/>
      <c r="W4" s="1370"/>
      <c r="X4" s="1370"/>
      <c r="Y4" s="1370"/>
      <c r="Z4" s="1370"/>
      <c r="AA4" s="1370"/>
      <c r="AB4" s="1370"/>
      <c r="AC4" s="1370"/>
      <c r="AD4" s="120"/>
      <c r="AE4" s="183"/>
      <c r="AF4" s="183"/>
      <c r="AG4" s="183"/>
      <c r="AH4" s="183"/>
      <c r="AI4" s="183"/>
      <c r="AJ4" s="183"/>
      <c r="AK4" s="183"/>
      <c r="AL4" s="183"/>
      <c r="AM4" s="183"/>
      <c r="AN4" s="120"/>
      <c r="AO4" s="120"/>
      <c r="AP4" s="120"/>
      <c r="AQ4" s="120"/>
      <c r="AR4" s="120"/>
      <c r="AS4" s="120"/>
      <c r="AT4" s="120"/>
      <c r="AU4" s="120"/>
    </row>
    <row r="5" spans="2:47">
      <c r="B5" s="44"/>
      <c r="AC5" s="184"/>
      <c r="AD5" s="184"/>
      <c r="AE5" s="184"/>
      <c r="AF5" s="184"/>
      <c r="AG5" s="184"/>
      <c r="AH5" s="184"/>
      <c r="AI5" s="184"/>
      <c r="AJ5" s="184"/>
      <c r="AK5" s="184"/>
      <c r="AL5" s="184"/>
      <c r="AM5" s="184"/>
      <c r="AN5" s="184"/>
      <c r="AO5" s="184"/>
      <c r="AP5" s="184"/>
      <c r="AQ5" s="184"/>
      <c r="AR5" s="184"/>
      <c r="AS5" s="184"/>
      <c r="AT5" s="184"/>
      <c r="AU5" s="120"/>
    </row>
    <row r="6" spans="2:47" ht="14.5" customHeight="1">
      <c r="B6" s="1390" t="s">
        <v>260</v>
      </c>
      <c r="C6" s="1391"/>
      <c r="D6" s="839" t="s">
        <v>261</v>
      </c>
      <c r="E6" s="840"/>
      <c r="F6" s="840"/>
      <c r="G6" s="840"/>
      <c r="H6" s="840"/>
      <c r="I6" s="840"/>
      <c r="J6" s="840"/>
      <c r="K6" s="840"/>
      <c r="L6" s="840"/>
      <c r="M6" s="961"/>
      <c r="N6" s="847"/>
      <c r="O6" s="1398" t="s">
        <v>143</v>
      </c>
      <c r="P6" s="1399"/>
      <c r="Q6" s="1399"/>
      <c r="R6" s="1399"/>
      <c r="S6" s="1399"/>
      <c r="T6" s="1399"/>
      <c r="U6" s="1399"/>
      <c r="V6" s="1399"/>
      <c r="W6" s="1399"/>
      <c r="X6" s="1399"/>
      <c r="Y6" s="1399"/>
      <c r="Z6" s="1399"/>
      <c r="AA6" s="1399"/>
      <c r="AB6" s="1399"/>
      <c r="AC6" s="1400"/>
      <c r="AD6" s="120"/>
      <c r="AE6" s="120"/>
      <c r="AF6" s="120"/>
      <c r="AG6" s="120"/>
      <c r="AH6" s="120"/>
      <c r="AI6" s="120"/>
      <c r="AJ6" s="120"/>
      <c r="AK6" s="120"/>
      <c r="AL6" s="120"/>
      <c r="AM6" s="120"/>
      <c r="AN6" s="120"/>
      <c r="AO6" s="120"/>
      <c r="AP6" s="120"/>
      <c r="AQ6" s="120"/>
      <c r="AR6" s="120"/>
      <c r="AS6" s="120"/>
      <c r="AT6" s="120"/>
      <c r="AU6" s="120"/>
    </row>
    <row r="7" spans="2:47" ht="14.5" customHeight="1">
      <c r="B7" s="1392"/>
      <c r="C7" s="1393"/>
      <c r="D7" s="838">
        <v>2018</v>
      </c>
      <c r="E7" s="841">
        <v>2019</v>
      </c>
      <c r="F7" s="835"/>
      <c r="G7" s="835"/>
      <c r="H7" s="837"/>
      <c r="I7" s="835">
        <v>2020</v>
      </c>
      <c r="J7" s="836"/>
      <c r="K7" s="836"/>
      <c r="L7" s="836"/>
      <c r="M7" s="841">
        <v>2021</v>
      </c>
      <c r="N7" s="837"/>
      <c r="O7" s="1396">
        <v>2021</v>
      </c>
      <c r="P7" s="1385"/>
      <c r="Q7" s="1396">
        <v>2022</v>
      </c>
      <c r="R7" s="1384"/>
      <c r="S7" s="1384"/>
      <c r="T7" s="1385"/>
      <c r="U7" s="1396">
        <v>2023</v>
      </c>
      <c r="V7" s="1384"/>
      <c r="W7" s="1384"/>
      <c r="X7" s="1401"/>
      <c r="Y7" s="1396">
        <v>2024</v>
      </c>
      <c r="Z7" s="1401"/>
      <c r="AA7" s="1401"/>
      <c r="AB7" s="1385"/>
      <c r="AC7" s="475">
        <v>2025</v>
      </c>
      <c r="AD7" s="120"/>
      <c r="AE7" s="120"/>
      <c r="AF7" s="120"/>
      <c r="AG7" s="120"/>
      <c r="AH7" s="120"/>
      <c r="AI7" s="120"/>
      <c r="AJ7" s="120"/>
      <c r="AK7" s="120"/>
      <c r="AL7" s="120"/>
      <c r="AM7" s="120"/>
      <c r="AN7" s="120"/>
      <c r="AO7" s="120"/>
      <c r="AP7" s="120"/>
      <c r="AQ7" s="120"/>
      <c r="AR7" s="120"/>
      <c r="AS7" s="120"/>
      <c r="AT7" s="120"/>
      <c r="AU7" s="120"/>
    </row>
    <row r="8" spans="2:47">
      <c r="B8" s="1394"/>
      <c r="C8" s="1395"/>
      <c r="D8" s="224" t="s">
        <v>138</v>
      </c>
      <c r="E8" s="224" t="s">
        <v>135</v>
      </c>
      <c r="F8" s="200" t="s">
        <v>136</v>
      </c>
      <c r="G8" s="200" t="s">
        <v>137</v>
      </c>
      <c r="H8" s="208" t="s">
        <v>138</v>
      </c>
      <c r="I8" s="201" t="s">
        <v>135</v>
      </c>
      <c r="J8" s="201" t="s">
        <v>136</v>
      </c>
      <c r="K8" s="201" t="s">
        <v>137</v>
      </c>
      <c r="L8" s="201" t="s">
        <v>138</v>
      </c>
      <c r="M8" s="216" t="s">
        <v>135</v>
      </c>
      <c r="N8" s="208" t="s">
        <v>136</v>
      </c>
      <c r="O8" s="892" t="s">
        <v>137</v>
      </c>
      <c r="P8" s="893" t="s">
        <v>138</v>
      </c>
      <c r="Q8" s="891" t="s">
        <v>135</v>
      </c>
      <c r="R8" s="892" t="s">
        <v>136</v>
      </c>
      <c r="S8" s="892" t="s">
        <v>137</v>
      </c>
      <c r="T8" s="892" t="s">
        <v>138</v>
      </c>
      <c r="U8" s="891" t="s">
        <v>135</v>
      </c>
      <c r="V8" s="892" t="s">
        <v>136</v>
      </c>
      <c r="W8" s="892" t="s">
        <v>137</v>
      </c>
      <c r="X8" s="892" t="s">
        <v>138</v>
      </c>
      <c r="Y8" s="891" t="s">
        <v>135</v>
      </c>
      <c r="Z8" s="577" t="s">
        <v>136</v>
      </c>
      <c r="AA8" s="892" t="s">
        <v>137</v>
      </c>
      <c r="AB8" s="893" t="s">
        <v>138</v>
      </c>
      <c r="AC8" s="82" t="s">
        <v>135</v>
      </c>
      <c r="AD8" s="120"/>
      <c r="AE8" s="120"/>
      <c r="AF8" s="120"/>
      <c r="AG8" s="120"/>
      <c r="AH8" s="120"/>
      <c r="AI8" s="120"/>
      <c r="AJ8" s="120"/>
      <c r="AK8" s="120"/>
      <c r="AL8" s="120"/>
      <c r="AM8" s="120"/>
      <c r="AN8" s="120"/>
      <c r="AO8" s="120"/>
      <c r="AP8" s="120"/>
      <c r="AQ8" s="120"/>
      <c r="AR8" s="120"/>
      <c r="AS8" s="120"/>
      <c r="AT8" s="120"/>
      <c r="AU8" s="120"/>
    </row>
    <row r="9" spans="2:47" ht="29" customHeight="1">
      <c r="B9" s="61" t="s">
        <v>1077</v>
      </c>
      <c r="C9" s="60" t="s">
        <v>199</v>
      </c>
      <c r="D9" s="910"/>
      <c r="E9" s="911"/>
      <c r="F9" s="911"/>
      <c r="G9" s="911"/>
      <c r="H9" s="911">
        <f>'Haver Pivoted'!GS23</f>
        <v>1441.7</v>
      </c>
      <c r="I9" s="911">
        <f>'Haver Pivoted'!GT23</f>
        <v>1454.7</v>
      </c>
      <c r="J9" s="911">
        <f>'Haver Pivoted'!GU23</f>
        <v>1525</v>
      </c>
      <c r="K9" s="911">
        <f>'Haver Pivoted'!GV23</f>
        <v>1515.1</v>
      </c>
      <c r="L9" s="911">
        <f>'Haver Pivoted'!GW23</f>
        <v>1512.3</v>
      </c>
      <c r="M9" s="912">
        <f>'Haver Pivoted'!GX23</f>
        <v>1568.6</v>
      </c>
      <c r="N9" s="906">
        <f>'Haver Pivoted'!GY23</f>
        <v>1563.3</v>
      </c>
      <c r="O9" s="909">
        <f t="shared" ref="O9:Y9" si="0">N9*((100 + O11)/100)^(0.25)</f>
        <v>1574.4706324651618</v>
      </c>
      <c r="P9" s="909">
        <f t="shared" si="0"/>
        <v>1586.3910806856957</v>
      </c>
      <c r="Q9" s="909">
        <f t="shared" si="0"/>
        <v>1598.4948253539787</v>
      </c>
      <c r="R9" s="909">
        <f t="shared" si="0"/>
        <v>1600.4852269719188</v>
      </c>
      <c r="S9" s="909">
        <f t="shared" si="0"/>
        <v>1599.8246179233195</v>
      </c>
      <c r="T9" s="909">
        <f t="shared" si="0"/>
        <v>1599.9925730575819</v>
      </c>
      <c r="U9" s="909">
        <f t="shared" si="0"/>
        <v>1604.2713586599725</v>
      </c>
      <c r="V9" s="909">
        <f t="shared" si="0"/>
        <v>1610.249863080161</v>
      </c>
      <c r="W9" s="909">
        <f t="shared" si="0"/>
        <v>1617.9041839311014</v>
      </c>
      <c r="X9" s="909">
        <f t="shared" si="0"/>
        <v>1626.9012547503785</v>
      </c>
      <c r="Y9" s="909">
        <f t="shared" si="0"/>
        <v>1635.7763242754954</v>
      </c>
      <c r="Z9" s="909">
        <f t="shared" ref="Z9" si="1">Y9*((100 + Z11)/100)^(0.25)</f>
        <v>1644.6998090678856</v>
      </c>
      <c r="AA9" s="909">
        <f t="shared" ref="AA9" si="2">Z9*((100 + AA11)/100)^(0.25)</f>
        <v>1654.0763434825342</v>
      </c>
      <c r="AB9" s="909">
        <f t="shared" ref="AB9" si="3">AA9*((100 + AB11)/100)^(0.25)</f>
        <v>1663.0996585149583</v>
      </c>
      <c r="AC9" s="1076">
        <f t="shared" ref="AC9" si="4">AB9*((100 + AC11)/100)^(0.25)</f>
        <v>1673.3979812645641</v>
      </c>
      <c r="AD9" s="120"/>
      <c r="AE9" s="120"/>
      <c r="AF9" s="120"/>
      <c r="AG9" s="120"/>
      <c r="AH9" s="120"/>
      <c r="AI9" s="120"/>
      <c r="AJ9" s="120"/>
      <c r="AK9" s="120"/>
      <c r="AL9" s="120"/>
      <c r="AM9" s="120"/>
      <c r="AN9" s="120"/>
      <c r="AO9" s="120"/>
      <c r="AP9" s="120"/>
      <c r="AQ9" s="120"/>
      <c r="AR9" s="120"/>
      <c r="AS9" s="120"/>
      <c r="AT9" s="120"/>
      <c r="AU9" s="120"/>
    </row>
    <row r="10" spans="2:47" ht="18" customHeight="1">
      <c r="B10" s="72" t="s">
        <v>1042</v>
      </c>
      <c r="C10" s="60"/>
      <c r="D10" s="913"/>
      <c r="E10" s="62"/>
      <c r="F10" s="62"/>
      <c r="G10" s="62"/>
      <c r="H10" s="62">
        <v>1447.9</v>
      </c>
      <c r="I10" s="62">
        <v>1452.6</v>
      </c>
      <c r="J10" s="62">
        <v>1504.8</v>
      </c>
      <c r="K10" s="62">
        <v>1487</v>
      </c>
      <c r="L10" s="62">
        <v>1493.4</v>
      </c>
      <c r="M10" s="80">
        <v>1557</v>
      </c>
      <c r="N10" s="907">
        <v>1546</v>
      </c>
      <c r="O10" s="580">
        <v>1557</v>
      </c>
      <c r="P10" s="580">
        <v>1568.8</v>
      </c>
      <c r="Q10" s="580">
        <v>1580.8</v>
      </c>
      <c r="R10" s="580">
        <v>1582.8</v>
      </c>
      <c r="S10" s="580">
        <v>1582.1</v>
      </c>
      <c r="T10" s="580">
        <v>1582.3</v>
      </c>
      <c r="U10" s="371">
        <v>1586.5</v>
      </c>
      <c r="V10" s="371">
        <v>1592.4</v>
      </c>
      <c r="W10" s="371">
        <v>1600</v>
      </c>
      <c r="X10" s="371">
        <v>1608.9</v>
      </c>
      <c r="Y10" s="371">
        <v>1618</v>
      </c>
      <c r="Z10" s="371">
        <v>1627</v>
      </c>
      <c r="AA10" s="892">
        <v>1636</v>
      </c>
      <c r="AB10" s="892">
        <v>1645</v>
      </c>
      <c r="AC10" s="893">
        <v>1655</v>
      </c>
      <c r="AD10" s="120"/>
      <c r="AE10" s="120"/>
      <c r="AF10" s="120"/>
      <c r="AG10" s="120"/>
      <c r="AH10" s="120"/>
      <c r="AI10" s="120"/>
      <c r="AJ10" s="120"/>
      <c r="AK10" s="120"/>
      <c r="AL10" s="120"/>
      <c r="AM10" s="120"/>
      <c r="AN10" s="120"/>
      <c r="AO10" s="120"/>
      <c r="AP10" s="120"/>
      <c r="AQ10" s="120"/>
      <c r="AR10" s="120"/>
      <c r="AS10" s="120"/>
      <c r="AT10" s="120"/>
      <c r="AU10" s="120"/>
    </row>
    <row r="11" spans="2:47" ht="14.5" customHeight="1">
      <c r="B11" s="72" t="s">
        <v>1043</v>
      </c>
      <c r="C11" s="858"/>
      <c r="D11" s="857"/>
      <c r="E11" s="858"/>
      <c r="F11" s="858"/>
      <c r="G11" s="858"/>
      <c r="H11" s="68">
        <v>5.3259999999999996</v>
      </c>
      <c r="I11" s="68">
        <v>1.278</v>
      </c>
      <c r="J11" s="68">
        <v>15.177</v>
      </c>
      <c r="K11" s="566">
        <v>-4.6340000000000003</v>
      </c>
      <c r="L11" s="566">
        <v>1.732</v>
      </c>
      <c r="M11" s="73">
        <v>18.143999999999998</v>
      </c>
      <c r="N11" s="908">
        <v>-2.7970000000000002</v>
      </c>
      <c r="O11" s="565">
        <v>2.8889999999999998</v>
      </c>
      <c r="P11" s="565">
        <v>3.0630000000000002</v>
      </c>
      <c r="Q11" s="565">
        <v>3.0870000000000002</v>
      </c>
      <c r="R11" s="565">
        <v>0.499</v>
      </c>
      <c r="S11" s="565">
        <v>-0.16500000000000001</v>
      </c>
      <c r="T11" s="565">
        <v>4.2000000000000003E-2</v>
      </c>
      <c r="U11" s="372">
        <v>1.0740000000000001</v>
      </c>
      <c r="V11" s="372">
        <v>1.4990000000000001</v>
      </c>
      <c r="W11" s="372">
        <v>1.915</v>
      </c>
      <c r="X11" s="372">
        <v>2.2429999999999999</v>
      </c>
      <c r="Y11" s="372">
        <v>2.2000000000000002</v>
      </c>
      <c r="Z11" s="372">
        <v>2.2000000000000002</v>
      </c>
      <c r="AA11" s="892">
        <v>2.2999999999999998</v>
      </c>
      <c r="AB11" s="892">
        <v>2.2000000000000002</v>
      </c>
      <c r="AC11" s="893">
        <v>2.5</v>
      </c>
      <c r="AD11" s="302"/>
    </row>
    <row r="12" spans="2:47" s="302" customFormat="1">
      <c r="B12" s="563" t="s">
        <v>724</v>
      </c>
      <c r="C12" s="562"/>
      <c r="D12" s="563"/>
      <c r="E12" s="562"/>
      <c r="F12" s="562"/>
      <c r="G12" s="562"/>
      <c r="H12" s="566"/>
      <c r="I12" s="566"/>
      <c r="J12" s="566"/>
      <c r="K12" s="566"/>
      <c r="L12" s="566"/>
      <c r="M12" s="73"/>
      <c r="N12" s="908"/>
      <c r="O12" s="565"/>
      <c r="P12" s="565"/>
      <c r="Q12" s="565"/>
      <c r="R12" s="565"/>
      <c r="S12" s="565"/>
      <c r="T12" s="565"/>
      <c r="U12" s="565"/>
      <c r="V12" s="565"/>
      <c r="W12" s="565"/>
      <c r="X12" s="565"/>
      <c r="Y12" s="565"/>
      <c r="Z12" s="565"/>
      <c r="AA12" s="565"/>
      <c r="AB12" s="565"/>
      <c r="AC12" s="567"/>
      <c r="AD12" s="302" t="s">
        <v>1011</v>
      </c>
    </row>
    <row r="13" spans="2:47" ht="30">
      <c r="B13" s="55" t="s">
        <v>277</v>
      </c>
      <c r="C13" s="858"/>
      <c r="D13" s="857"/>
      <c r="E13" s="858"/>
      <c r="F13" s="858"/>
      <c r="G13" s="858"/>
      <c r="H13" s="62">
        <f t="shared" ref="H13:N13" si="5">H9</f>
        <v>1441.7</v>
      </c>
      <c r="I13" s="62">
        <f t="shared" si="5"/>
        <v>1454.7</v>
      </c>
      <c r="J13" s="62">
        <f t="shared" si="5"/>
        <v>1525</v>
      </c>
      <c r="K13" s="62">
        <f t="shared" si="5"/>
        <v>1515.1</v>
      </c>
      <c r="L13" s="62">
        <f t="shared" si="5"/>
        <v>1512.3</v>
      </c>
      <c r="M13" s="80">
        <f t="shared" si="5"/>
        <v>1568.6</v>
      </c>
      <c r="N13" s="907">
        <f t="shared" si="5"/>
        <v>1563.3</v>
      </c>
      <c r="O13" s="577">
        <f t="shared" ref="O13:AC13" si="6">O9 +O12</f>
        <v>1574.4706324651618</v>
      </c>
      <c r="P13" s="577">
        <f t="shared" si="6"/>
        <v>1586.3910806856957</v>
      </c>
      <c r="Q13" s="577">
        <f t="shared" si="6"/>
        <v>1598.4948253539787</v>
      </c>
      <c r="R13" s="577">
        <f t="shared" si="6"/>
        <v>1600.4852269719188</v>
      </c>
      <c r="S13" s="577">
        <f t="shared" si="6"/>
        <v>1599.8246179233195</v>
      </c>
      <c r="T13" s="577">
        <f t="shared" si="6"/>
        <v>1599.9925730575819</v>
      </c>
      <c r="U13" s="577">
        <f t="shared" si="6"/>
        <v>1604.2713586599725</v>
      </c>
      <c r="V13" s="577">
        <f t="shared" si="6"/>
        <v>1610.249863080161</v>
      </c>
      <c r="W13" s="577">
        <f t="shared" si="6"/>
        <v>1617.9041839311014</v>
      </c>
      <c r="X13" s="577">
        <f t="shared" si="6"/>
        <v>1626.9012547503785</v>
      </c>
      <c r="Y13" s="577">
        <f t="shared" si="6"/>
        <v>1635.7763242754954</v>
      </c>
      <c r="Z13" s="577">
        <f t="shared" si="6"/>
        <v>1644.6998090678856</v>
      </c>
      <c r="AA13" s="577">
        <f t="shared" si="6"/>
        <v>1654.0763434825342</v>
      </c>
      <c r="AB13" s="577">
        <f t="shared" si="6"/>
        <v>1663.0996585149583</v>
      </c>
      <c r="AC13" s="578">
        <f t="shared" si="6"/>
        <v>1673.3979812645641</v>
      </c>
      <c r="AD13" s="36" t="s">
        <v>278</v>
      </c>
    </row>
    <row r="14" spans="2:47" ht="15">
      <c r="B14" s="105" t="s">
        <v>295</v>
      </c>
      <c r="C14" s="856"/>
      <c r="D14" s="855"/>
      <c r="E14" s="856"/>
      <c r="F14" s="856"/>
      <c r="G14" s="856"/>
      <c r="H14" s="700">
        <f t="shared" ref="H14:AC14" si="7">H13+H48</f>
        <v>1721.1880000000001</v>
      </c>
      <c r="I14" s="700">
        <f t="shared" si="7"/>
        <v>1739.9560000000001</v>
      </c>
      <c r="J14" s="700">
        <f t="shared" si="7"/>
        <v>1934.885</v>
      </c>
      <c r="K14" s="700">
        <f t="shared" si="7"/>
        <v>1895.6499999999999</v>
      </c>
      <c r="L14" s="700">
        <f t="shared" si="7"/>
        <v>1869.4580000000001</v>
      </c>
      <c r="M14" s="700">
        <f t="shared" si="7"/>
        <v>1953.7849999999999</v>
      </c>
      <c r="N14" s="701">
        <f t="shared" si="7"/>
        <v>1986.317</v>
      </c>
      <c r="O14" s="369">
        <f t="shared" si="7"/>
        <v>2007.0490946205502</v>
      </c>
      <c r="P14" s="369">
        <f t="shared" si="7"/>
        <v>2054.7334542295553</v>
      </c>
      <c r="Q14" s="369">
        <f t="shared" si="7"/>
        <v>2075.2969554738784</v>
      </c>
      <c r="R14" s="369">
        <f t="shared" si="7"/>
        <v>2095.3842890474716</v>
      </c>
      <c r="S14" s="369">
        <f t="shared" si="7"/>
        <v>2113.3707189967818</v>
      </c>
      <c r="T14" s="369">
        <f t="shared" si="7"/>
        <v>2133.4777662753359</v>
      </c>
      <c r="U14" s="369">
        <f t="shared" si="7"/>
        <v>2158.4542461778656</v>
      </c>
      <c r="V14" s="369">
        <f t="shared" si="7"/>
        <v>2157.1715923021984</v>
      </c>
      <c r="W14" s="369">
        <f t="shared" si="7"/>
        <v>2172.5024771334488</v>
      </c>
      <c r="X14" s="369">
        <f t="shared" si="7"/>
        <v>2194.8428900122481</v>
      </c>
      <c r="Y14" s="369">
        <f t="shared" si="7"/>
        <v>2192.5314461592689</v>
      </c>
      <c r="Z14" s="369">
        <f t="shared" si="7"/>
        <v>2193.7806369184382</v>
      </c>
      <c r="AA14" s="369">
        <f t="shared" si="7"/>
        <v>2218.2886096585376</v>
      </c>
      <c r="AB14" s="369">
        <f t="shared" si="7"/>
        <v>2242.1679864094303</v>
      </c>
      <c r="AC14" s="370">
        <f t="shared" si="7"/>
        <v>2259.8350491182437</v>
      </c>
      <c r="AD14" s="36" t="s">
        <v>566</v>
      </c>
    </row>
    <row r="17" spans="2:30" ht="21.5" customHeight="1">
      <c r="B17" s="1372" t="s">
        <v>130</v>
      </c>
      <c r="C17" s="1372"/>
      <c r="D17" s="1372"/>
      <c r="E17" s="1372"/>
      <c r="F17" s="1372"/>
      <c r="G17" s="1372"/>
      <c r="H17" s="1372"/>
      <c r="I17" s="1372"/>
      <c r="J17" s="1372"/>
      <c r="K17" s="1372"/>
      <c r="L17" s="1372"/>
      <c r="M17" s="1372"/>
      <c r="N17" s="1372"/>
      <c r="O17" s="1372"/>
      <c r="P17" s="1372"/>
      <c r="Q17" s="1372"/>
      <c r="R17" s="1372"/>
      <c r="S17" s="1372"/>
      <c r="T17" s="1372"/>
      <c r="U17" s="1372"/>
      <c r="V17" s="1372"/>
      <c r="W17" s="1372"/>
      <c r="X17" s="1372"/>
      <c r="Y17" s="1372"/>
      <c r="Z17" s="1372"/>
      <c r="AA17" s="1372"/>
      <c r="AB17" s="1372"/>
      <c r="AC17" s="1372"/>
    </row>
    <row r="18" spans="2:30" ht="14" customHeight="1">
      <c r="B18" s="1397" t="s">
        <v>405</v>
      </c>
      <c r="C18" s="1397"/>
      <c r="D18" s="1397"/>
      <c r="E18" s="1397"/>
      <c r="F18" s="1397"/>
      <c r="G18" s="1397"/>
      <c r="H18" s="1397"/>
      <c r="I18" s="1397"/>
      <c r="J18" s="1397"/>
      <c r="K18" s="1397"/>
      <c r="L18" s="1397"/>
      <c r="M18" s="1397"/>
      <c r="N18" s="1397"/>
      <c r="O18" s="1397"/>
      <c r="P18" s="1397"/>
      <c r="Q18" s="1397"/>
      <c r="R18" s="1397"/>
      <c r="S18" s="1397"/>
      <c r="T18" s="1397"/>
      <c r="U18" s="1397"/>
      <c r="V18" s="1397"/>
      <c r="W18" s="1397"/>
      <c r="X18" s="1397"/>
      <c r="Y18" s="1397"/>
      <c r="Z18" s="1397"/>
      <c r="AA18" s="1397"/>
      <c r="AB18" s="1397"/>
      <c r="AC18" s="1397"/>
    </row>
    <row r="19" spans="2:30">
      <c r="B19" s="1397"/>
      <c r="C19" s="1397"/>
      <c r="D19" s="1397"/>
      <c r="E19" s="1397"/>
      <c r="F19" s="1397"/>
      <c r="G19" s="1397"/>
      <c r="H19" s="1397"/>
      <c r="I19" s="1397"/>
      <c r="J19" s="1397"/>
      <c r="K19" s="1397"/>
      <c r="L19" s="1397"/>
      <c r="M19" s="1397"/>
      <c r="N19" s="1397"/>
      <c r="O19" s="1397"/>
      <c r="P19" s="1397"/>
      <c r="Q19" s="1397"/>
      <c r="R19" s="1397"/>
      <c r="S19" s="1397"/>
      <c r="T19" s="1397"/>
      <c r="U19" s="1397"/>
      <c r="V19" s="1397"/>
      <c r="W19" s="1397"/>
      <c r="X19" s="1397"/>
      <c r="Y19" s="1397"/>
      <c r="Z19" s="1397"/>
      <c r="AA19" s="1397"/>
      <c r="AB19" s="1397"/>
      <c r="AC19" s="1397"/>
    </row>
    <row r="20" spans="2:30">
      <c r="B20" s="1397"/>
      <c r="C20" s="1397"/>
      <c r="D20" s="1397"/>
      <c r="E20" s="1397"/>
      <c r="F20" s="1397"/>
      <c r="G20" s="1397"/>
      <c r="H20" s="1397"/>
      <c r="I20" s="1397"/>
      <c r="J20" s="1397"/>
      <c r="K20" s="1397"/>
      <c r="L20" s="1397"/>
      <c r="M20" s="1397"/>
      <c r="N20" s="1397"/>
      <c r="O20" s="1397"/>
      <c r="P20" s="1397"/>
      <c r="Q20" s="1397"/>
      <c r="R20" s="1397"/>
      <c r="S20" s="1397"/>
      <c r="T20" s="1397"/>
      <c r="U20" s="1397"/>
      <c r="V20" s="1397"/>
      <c r="W20" s="1397"/>
      <c r="X20" s="1397"/>
      <c r="Y20" s="1397"/>
      <c r="Z20" s="1397"/>
      <c r="AA20" s="1397"/>
      <c r="AB20" s="1397"/>
      <c r="AC20" s="1397"/>
    </row>
    <row r="22" spans="2:30">
      <c r="B22" s="1390" t="s">
        <v>260</v>
      </c>
      <c r="C22" s="1391"/>
      <c r="D22" s="1402" t="s">
        <v>261</v>
      </c>
      <c r="E22" s="1403"/>
      <c r="F22" s="1403"/>
      <c r="G22" s="1403"/>
      <c r="H22" s="1403"/>
      <c r="I22" s="1403"/>
      <c r="J22" s="1403"/>
      <c r="K22" s="1403"/>
      <c r="L22" s="1403"/>
      <c r="M22" s="1387"/>
      <c r="N22" s="1425"/>
      <c r="O22" s="1398" t="s">
        <v>143</v>
      </c>
      <c r="P22" s="1399"/>
      <c r="Q22" s="1399"/>
      <c r="R22" s="1399"/>
      <c r="S22" s="1399"/>
      <c r="T22" s="1399"/>
      <c r="U22" s="1399"/>
      <c r="V22" s="1399"/>
      <c r="W22" s="1399"/>
      <c r="X22" s="1399"/>
      <c r="Y22" s="1399"/>
      <c r="Z22" s="1399"/>
      <c r="AA22" s="1399"/>
      <c r="AB22" s="1399"/>
      <c r="AC22" s="1400"/>
    </row>
    <row r="23" spans="2:30">
      <c r="B23" s="1392"/>
      <c r="C23" s="1393"/>
      <c r="D23" s="838">
        <v>2018</v>
      </c>
      <c r="E23" s="1373">
        <v>2019</v>
      </c>
      <c r="F23" s="1426"/>
      <c r="G23" s="1426"/>
      <c r="H23" s="1383"/>
      <c r="I23" s="1426">
        <v>2020</v>
      </c>
      <c r="J23" s="1374"/>
      <c r="K23" s="1374"/>
      <c r="L23" s="1374"/>
      <c r="M23" s="1373">
        <v>2021</v>
      </c>
      <c r="N23" s="1383"/>
      <c r="O23" s="1396">
        <v>2021</v>
      </c>
      <c r="P23" s="1385"/>
      <c r="Q23" s="1396">
        <v>2022</v>
      </c>
      <c r="R23" s="1384"/>
      <c r="S23" s="1384"/>
      <c r="T23" s="1385"/>
      <c r="U23" s="1396">
        <v>2023</v>
      </c>
      <c r="V23" s="1384"/>
      <c r="W23" s="1384"/>
      <c r="X23" s="1401"/>
      <c r="Y23" s="1396">
        <v>2024</v>
      </c>
      <c r="Z23" s="1401"/>
      <c r="AA23" s="1401"/>
      <c r="AB23" s="1385"/>
      <c r="AC23" s="475">
        <v>2025</v>
      </c>
    </row>
    <row r="24" spans="2:30">
      <c r="B24" s="1394"/>
      <c r="C24" s="1395"/>
      <c r="D24" s="224" t="s">
        <v>138</v>
      </c>
      <c r="E24" s="224" t="s">
        <v>135</v>
      </c>
      <c r="F24" s="200" t="s">
        <v>136</v>
      </c>
      <c r="G24" s="200" t="s">
        <v>137</v>
      </c>
      <c r="H24" s="208" t="s">
        <v>138</v>
      </c>
      <c r="I24" s="201" t="s">
        <v>135</v>
      </c>
      <c r="J24" s="201" t="s">
        <v>136</v>
      </c>
      <c r="K24" s="201" t="s">
        <v>137</v>
      </c>
      <c r="L24" s="201" t="s">
        <v>138</v>
      </c>
      <c r="M24" s="216" t="s">
        <v>135</v>
      </c>
      <c r="N24" s="208" t="s">
        <v>136</v>
      </c>
      <c r="O24" s="892" t="s">
        <v>137</v>
      </c>
      <c r="P24" s="893" t="s">
        <v>138</v>
      </c>
      <c r="Q24" s="891" t="s">
        <v>135</v>
      </c>
      <c r="R24" s="892" t="s">
        <v>136</v>
      </c>
      <c r="S24" s="892" t="s">
        <v>137</v>
      </c>
      <c r="T24" s="892" t="s">
        <v>138</v>
      </c>
      <c r="U24" s="891" t="s">
        <v>135</v>
      </c>
      <c r="V24" s="892" t="s">
        <v>136</v>
      </c>
      <c r="W24" s="892" t="s">
        <v>137</v>
      </c>
      <c r="X24" s="892" t="s">
        <v>138</v>
      </c>
      <c r="Y24" s="891" t="s">
        <v>135</v>
      </c>
      <c r="Z24" s="577" t="s">
        <v>136</v>
      </c>
      <c r="AA24" s="892" t="s">
        <v>137</v>
      </c>
      <c r="AB24" s="893" t="s">
        <v>138</v>
      </c>
      <c r="AC24" s="82" t="s">
        <v>135</v>
      </c>
    </row>
    <row r="25" spans="2:30" ht="15">
      <c r="B25" s="71" t="s">
        <v>275</v>
      </c>
      <c r="C25" s="914" t="s">
        <v>220</v>
      </c>
      <c r="D25" s="507"/>
      <c r="E25" s="508"/>
      <c r="F25" s="508"/>
      <c r="G25" s="508"/>
      <c r="H25" s="912">
        <f>'Haver Pivoted'!GS24</f>
        <v>2329.1999999999998</v>
      </c>
      <c r="I25" s="912">
        <f>'Haver Pivoted'!GT24</f>
        <v>2376.9</v>
      </c>
      <c r="J25" s="912">
        <f>'Haver Pivoted'!GU24</f>
        <v>2334.6</v>
      </c>
      <c r="K25" s="912">
        <f>'Haver Pivoted'!GV24</f>
        <v>2346.5</v>
      </c>
      <c r="L25" s="912">
        <f>'Haver Pivoted'!GW24</f>
        <v>2373</v>
      </c>
      <c r="M25" s="912">
        <f>'Haver Pivoted'!GX24</f>
        <v>2408.6999999999998</v>
      </c>
      <c r="N25" s="906">
        <f>'Haver Pivoted'!GY24</f>
        <v>2452.6999999999998</v>
      </c>
      <c r="O25" s="98"/>
      <c r="P25" s="98"/>
      <c r="Q25" s="98"/>
      <c r="R25" s="98"/>
      <c r="S25" s="98"/>
      <c r="T25" s="98"/>
      <c r="U25" s="98"/>
      <c r="V25" s="98"/>
      <c r="W25" s="98"/>
      <c r="X25" s="98"/>
      <c r="Y25" s="98"/>
      <c r="Z25" s="98"/>
      <c r="AA25" s="98"/>
      <c r="AB25" s="98"/>
      <c r="AC25" s="101"/>
    </row>
    <row r="26" spans="2:30" ht="21" customHeight="1">
      <c r="B26" s="72" t="s">
        <v>280</v>
      </c>
      <c r="C26" s="858"/>
      <c r="D26" s="259"/>
      <c r="E26" s="511"/>
      <c r="F26" s="511"/>
      <c r="G26" s="511"/>
      <c r="H26" s="512"/>
      <c r="I26" s="512"/>
      <c r="J26" s="512"/>
      <c r="K26" s="73"/>
      <c r="L26" s="73"/>
      <c r="M26" s="73">
        <v>9.5846503665249383</v>
      </c>
      <c r="N26" s="908">
        <v>9</v>
      </c>
      <c r="O26" s="565">
        <v>10</v>
      </c>
      <c r="P26" s="565">
        <v>10</v>
      </c>
      <c r="Q26" s="565">
        <v>9</v>
      </c>
      <c r="R26" s="565">
        <v>8</v>
      </c>
      <c r="S26" s="565">
        <v>7</v>
      </c>
      <c r="T26" s="565">
        <v>5.5</v>
      </c>
      <c r="U26" s="565">
        <v>5</v>
      </c>
      <c r="V26" s="565">
        <v>5</v>
      </c>
      <c r="W26" s="565">
        <v>5</v>
      </c>
      <c r="X26" s="565">
        <v>5</v>
      </c>
      <c r="Y26" s="565">
        <v>5</v>
      </c>
      <c r="Z26" s="565"/>
      <c r="AA26" s="565"/>
      <c r="AB26" s="565"/>
      <c r="AC26" s="567"/>
      <c r="AD26" s="43" t="s">
        <v>300</v>
      </c>
    </row>
    <row r="27" spans="2:30" ht="17.5" customHeight="1">
      <c r="B27" s="106" t="s">
        <v>299</v>
      </c>
      <c r="C27" s="858"/>
      <c r="D27" s="259"/>
      <c r="E27" s="511"/>
      <c r="F27" s="511"/>
      <c r="G27" s="511"/>
      <c r="H27" s="80">
        <f>H25</f>
        <v>2329.1999999999998</v>
      </c>
      <c r="I27" s="80">
        <f t="shared" ref="I27:N27" si="8">I25</f>
        <v>2376.9</v>
      </c>
      <c r="J27" s="80">
        <f t="shared" si="8"/>
        <v>2334.6</v>
      </c>
      <c r="K27" s="80">
        <f t="shared" si="8"/>
        <v>2346.5</v>
      </c>
      <c r="L27" s="80">
        <f t="shared" si="8"/>
        <v>2373</v>
      </c>
      <c r="M27" s="80">
        <f t="shared" si="8"/>
        <v>2408.6999999999998</v>
      </c>
      <c r="N27" s="907">
        <f t="shared" si="8"/>
        <v>2452.6999999999998</v>
      </c>
      <c r="O27" s="577">
        <f t="shared" ref="O27:U27" si="9">N27*((100+O26)/100)^0.25</f>
        <v>2511.8436452174183</v>
      </c>
      <c r="P27" s="577">
        <f t="shared" si="9"/>
        <v>2572.4134619069305</v>
      </c>
      <c r="Q27" s="577">
        <f t="shared" si="9"/>
        <v>2628.4359475389774</v>
      </c>
      <c r="R27" s="577">
        <f t="shared" si="9"/>
        <v>2679.4973817692357</v>
      </c>
      <c r="S27" s="577">
        <f t="shared" si="9"/>
        <v>2725.2056548484343</v>
      </c>
      <c r="T27" s="577">
        <f t="shared" si="9"/>
        <v>2761.9282764357772</v>
      </c>
      <c r="U27" s="577">
        <f t="shared" si="9"/>
        <v>2795.8233077203895</v>
      </c>
      <c r="V27" s="577">
        <f t="shared" ref="V27" si="10">U27*((100+V26)/100)^0.25</f>
        <v>2830.1343067749062</v>
      </c>
      <c r="W27" s="577">
        <f t="shared" ref="W27" si="11">V27*((100+W26)/100)^0.25</f>
        <v>2864.8663784533146</v>
      </c>
      <c r="X27" s="577">
        <f t="shared" ref="X27" si="12">W27*((100+X26)/100)^0.25</f>
        <v>2900.0246902575668</v>
      </c>
      <c r="Y27" s="577">
        <f t="shared" ref="Y27" si="13">X27*((100+Y26)/100)^0.25</f>
        <v>2935.6144731064101</v>
      </c>
      <c r="Z27" s="577">
        <f t="shared" ref="Z27" si="14">Y27*((100+Z26)/100)^0.25</f>
        <v>2935.6144731064101</v>
      </c>
      <c r="AA27" s="577">
        <f t="shared" ref="AA27" si="15">Z27*((100+AA26)/100)^0.25</f>
        <v>2935.6144731064101</v>
      </c>
      <c r="AB27" s="577">
        <f t="shared" ref="AB27" si="16">AA27*((100+AB26)/100)^0.25</f>
        <v>2935.6144731064101</v>
      </c>
      <c r="AC27" s="578">
        <f t="shared" ref="AC27" si="17">AB27*((100+AC26)/100)^0.25</f>
        <v>2935.6144731064101</v>
      </c>
    </row>
    <row r="28" spans="2:30" ht="15">
      <c r="B28" s="105" t="s">
        <v>301</v>
      </c>
      <c r="C28" s="856"/>
      <c r="D28" s="916"/>
      <c r="E28" s="917"/>
      <c r="F28" s="917"/>
      <c r="G28" s="917"/>
      <c r="H28" s="700">
        <f t="shared" ref="H28:N28" si="18">H25-H48</f>
        <v>2049.712</v>
      </c>
      <c r="I28" s="700">
        <f t="shared" si="18"/>
        <v>2091.6440000000002</v>
      </c>
      <c r="J28" s="700">
        <f t="shared" si="18"/>
        <v>1924.7149999999999</v>
      </c>
      <c r="K28" s="700">
        <f t="shared" si="18"/>
        <v>1965.95</v>
      </c>
      <c r="L28" s="700">
        <f t="shared" si="18"/>
        <v>2015.8420000000001</v>
      </c>
      <c r="M28" s="700">
        <f t="shared" si="18"/>
        <v>2023.5149999999999</v>
      </c>
      <c r="N28" s="701">
        <f t="shared" si="18"/>
        <v>2029.6829999999998</v>
      </c>
      <c r="O28" s="369">
        <f t="shared" ref="O28:AC28" si="19">O27-O48</f>
        <v>2079.2651830620298</v>
      </c>
      <c r="P28" s="369">
        <f t="shared" si="19"/>
        <v>2104.0710883630709</v>
      </c>
      <c r="Q28" s="369">
        <f t="shared" si="19"/>
        <v>2151.6338174190778</v>
      </c>
      <c r="R28" s="369">
        <f t="shared" si="19"/>
        <v>2184.5983196936827</v>
      </c>
      <c r="S28" s="369">
        <f t="shared" si="19"/>
        <v>2211.6595537749718</v>
      </c>
      <c r="T28" s="369">
        <f t="shared" si="19"/>
        <v>2228.4430832180233</v>
      </c>
      <c r="U28" s="369">
        <f t="shared" si="19"/>
        <v>2241.6404202024964</v>
      </c>
      <c r="V28" s="369">
        <f t="shared" si="19"/>
        <v>2283.2125775528689</v>
      </c>
      <c r="W28" s="369">
        <f t="shared" si="19"/>
        <v>2310.2680852509675</v>
      </c>
      <c r="X28" s="369">
        <f t="shared" si="19"/>
        <v>2332.0830549956972</v>
      </c>
      <c r="Y28" s="369">
        <f t="shared" si="19"/>
        <v>2378.8593512226371</v>
      </c>
      <c r="Z28" s="369">
        <f t="shared" si="19"/>
        <v>2386.5336452558572</v>
      </c>
      <c r="AA28" s="369">
        <f t="shared" si="19"/>
        <v>2371.4022069304065</v>
      </c>
      <c r="AB28" s="369">
        <f t="shared" si="19"/>
        <v>2356.546145211938</v>
      </c>
      <c r="AC28" s="370">
        <f t="shared" si="19"/>
        <v>2349.1774052527303</v>
      </c>
      <c r="AD28" s="302" t="s">
        <v>279</v>
      </c>
    </row>
    <row r="29" spans="2:30" s="302" customFormat="1">
      <c r="B29" s="652"/>
      <c r="C29" s="652"/>
      <c r="D29" s="652"/>
      <c r="E29" s="652"/>
      <c r="F29" s="652"/>
      <c r="G29" s="652"/>
      <c r="H29" s="1138" t="e">
        <f t="shared" ref="H29:L29" si="20">(H28/G28)^4-1</f>
        <v>#DIV/0!</v>
      </c>
      <c r="I29" s="1138">
        <f t="shared" si="20"/>
        <v>8.4375512359762039E-2</v>
      </c>
      <c r="J29" s="1138">
        <f t="shared" si="20"/>
        <v>-0.28300744302674896</v>
      </c>
      <c r="K29" s="1138">
        <f t="shared" si="20"/>
        <v>8.848926220761677E-2</v>
      </c>
      <c r="L29" s="1138">
        <f t="shared" si="20"/>
        <v>0.10544231537179294</v>
      </c>
      <c r="M29" s="1138">
        <f>(M28/L28)^4-1</f>
        <v>1.5312550207230657E-2</v>
      </c>
      <c r="N29" s="1138">
        <f>(N28/M28)^4-1</f>
        <v>1.2248506070200227E-2</v>
      </c>
      <c r="O29" s="1138">
        <f>(O28/N28)^4-1</f>
        <v>0.10135332910276085</v>
      </c>
      <c r="P29" s="1138">
        <f t="shared" ref="P29:R29" si="21">(P28/O28)^4-1</f>
        <v>4.8581302950745142E-2</v>
      </c>
      <c r="Q29" s="1138">
        <f t="shared" si="21"/>
        <v>9.3532791476390598E-2</v>
      </c>
      <c r="R29" s="1138">
        <f t="shared" si="21"/>
        <v>6.270551665674895E-2</v>
      </c>
      <c r="S29" s="1138">
        <f t="shared" ref="S29" si="22">(S28/R28)^4-1</f>
        <v>5.0477420544534413E-2</v>
      </c>
      <c r="T29" s="1138">
        <f t="shared" ref="T29" si="23">(T28/S28)^4-1</f>
        <v>3.0701912484763838E-2</v>
      </c>
      <c r="U29" s="1138">
        <f t="shared" ref="U29" si="24">(U28/T28)^4-1</f>
        <v>2.3900160603576914E-2</v>
      </c>
      <c r="V29" s="1138">
        <f t="shared" ref="V29" si="25">(V28/U28)^4-1</f>
        <v>7.6270896599283322E-2</v>
      </c>
      <c r="W29" s="1138">
        <f t="shared" ref="W29" si="26">(W28/V28)^4-1</f>
        <v>4.8248191936735241E-2</v>
      </c>
      <c r="X29" s="1138">
        <f t="shared" ref="X29" si="27">(X28/W28)^4-1</f>
        <v>3.8308809393508669E-2</v>
      </c>
      <c r="Y29" s="1138">
        <f t="shared" ref="Y29" si="28">(Y28/X28)^4-1</f>
        <v>8.2677242188014866E-2</v>
      </c>
      <c r="Z29" s="1138">
        <f t="shared" ref="Z29" si="29">(Z28/Y28)^4-1</f>
        <v>1.2966736053817707E-2</v>
      </c>
    </row>
    <row r="30" spans="2:30" s="302" customFormat="1">
      <c r="B30" s="652"/>
      <c r="C30" s="652"/>
      <c r="D30" s="652"/>
      <c r="E30" s="652"/>
      <c r="F30" s="652"/>
      <c r="G30" s="652"/>
      <c r="H30" s="62"/>
      <c r="I30" s="62"/>
      <c r="J30" s="62"/>
      <c r="K30" s="62"/>
      <c r="L30" s="62"/>
      <c r="M30" s="62"/>
      <c r="N30" s="80"/>
      <c r="O30" s="80"/>
      <c r="P30" s="80"/>
      <c r="Q30" s="80"/>
      <c r="R30" s="80"/>
      <c r="S30" s="80"/>
      <c r="T30" s="80"/>
      <c r="U30" s="80"/>
      <c r="V30" s="80"/>
      <c r="W30" s="80"/>
      <c r="X30" s="80"/>
      <c r="Y30" s="80"/>
      <c r="Z30" s="80"/>
    </row>
    <row r="31" spans="2:30" s="302" customFormat="1" ht="39" customHeight="1">
      <c r="B31" s="790" t="s">
        <v>1039</v>
      </c>
      <c r="C31" s="922" t="s">
        <v>1037</v>
      </c>
      <c r="D31" s="923">
        <v>44197</v>
      </c>
      <c r="E31" s="924">
        <v>44228</v>
      </c>
      <c r="F31" s="924">
        <v>44256</v>
      </c>
      <c r="G31" s="924">
        <v>44287</v>
      </c>
      <c r="H31" s="924">
        <v>44317</v>
      </c>
      <c r="I31" s="924">
        <v>44348</v>
      </c>
      <c r="J31" s="925">
        <v>44378</v>
      </c>
      <c r="K31" s="788"/>
      <c r="L31" s="788"/>
      <c r="M31" s="788"/>
      <c r="N31" s="788"/>
      <c r="O31" s="788"/>
      <c r="P31" s="80"/>
      <c r="Q31" s="80"/>
      <c r="R31" s="80"/>
      <c r="S31" s="80"/>
      <c r="T31" s="80"/>
      <c r="U31" s="80"/>
      <c r="V31" s="80"/>
      <c r="W31" s="80"/>
      <c r="X31" s="80"/>
      <c r="Y31" s="80"/>
      <c r="Z31" s="80"/>
    </row>
    <row r="32" spans="2:30" s="302" customFormat="1" ht="19.5" customHeight="1">
      <c r="B32" s="355" t="s">
        <v>1040</v>
      </c>
      <c r="C32" s="187" t="s">
        <v>257</v>
      </c>
      <c r="D32" s="792">
        <v>5008</v>
      </c>
      <c r="E32" s="926">
        <v>4955</v>
      </c>
      <c r="F32" s="926">
        <v>4967</v>
      </c>
      <c r="G32" s="926">
        <v>4977</v>
      </c>
      <c r="H32" s="926">
        <v>5024</v>
      </c>
      <c r="I32" s="926">
        <v>5093</v>
      </c>
      <c r="J32" s="927"/>
      <c r="K32" s="560"/>
      <c r="L32" s="791"/>
      <c r="M32" s="791"/>
      <c r="N32" s="791"/>
      <c r="O32" s="791"/>
      <c r="P32" s="791"/>
      <c r="Q32" s="791"/>
      <c r="R32" s="80"/>
      <c r="S32" s="80"/>
      <c r="T32" s="80"/>
      <c r="U32" s="80"/>
      <c r="V32" s="80"/>
      <c r="W32" s="80"/>
      <c r="X32" s="80"/>
      <c r="Y32" s="80"/>
      <c r="Z32" s="80"/>
    </row>
    <row r="33" spans="2:29" s="302" customFormat="1" ht="18" customHeight="1">
      <c r="B33" s="651" t="s">
        <v>1041</v>
      </c>
      <c r="C33" s="562" t="s">
        <v>258</v>
      </c>
      <c r="D33" s="793">
        <v>13683</v>
      </c>
      <c r="E33" s="859">
        <v>13644</v>
      </c>
      <c r="F33" s="859">
        <v>13687</v>
      </c>
      <c r="G33" s="859">
        <v>13717</v>
      </c>
      <c r="H33" s="859">
        <v>13747</v>
      </c>
      <c r="I33" s="859">
        <v>13871</v>
      </c>
      <c r="J33" s="928"/>
      <c r="K33" s="560"/>
      <c r="L33" s="560"/>
      <c r="M33" s="560"/>
      <c r="N33" s="560"/>
      <c r="O33" s="560"/>
      <c r="P33" s="560"/>
      <c r="Q33" s="560"/>
      <c r="R33" s="80"/>
      <c r="S33" s="80"/>
      <c r="T33" s="80"/>
      <c r="U33" s="80"/>
      <c r="V33" s="80"/>
      <c r="W33" s="80"/>
      <c r="X33" s="80"/>
      <c r="Y33" s="80"/>
      <c r="Z33" s="80"/>
    </row>
    <row r="34" spans="2:29" ht="19.5" customHeight="1">
      <c r="B34" s="650" t="s">
        <v>1038</v>
      </c>
      <c r="C34" s="47" t="s">
        <v>259</v>
      </c>
      <c r="D34" s="794">
        <v>328517</v>
      </c>
      <c r="E34" s="394">
        <v>320118</v>
      </c>
      <c r="F34" s="394">
        <v>319991</v>
      </c>
      <c r="G34" s="394">
        <v>320027</v>
      </c>
      <c r="H34" s="394">
        <v>319593</v>
      </c>
      <c r="I34" s="373">
        <f>AVERAGE(G34:H34)</f>
        <v>319810</v>
      </c>
      <c r="J34" s="929"/>
      <c r="K34" s="560"/>
      <c r="L34" s="560"/>
      <c r="M34" s="560"/>
      <c r="N34" s="560"/>
      <c r="O34" s="560"/>
      <c r="P34" s="560"/>
      <c r="Q34" s="560"/>
      <c r="R34" s="80"/>
      <c r="S34" s="80"/>
      <c r="T34" s="80"/>
      <c r="U34" s="80"/>
      <c r="V34" s="80"/>
      <c r="W34" s="80"/>
      <c r="X34" s="80"/>
      <c r="Y34" s="80"/>
      <c r="Z34" s="80"/>
    </row>
    <row r="35" spans="2:29" s="302" customFormat="1" ht="15">
      <c r="B35" s="77"/>
      <c r="C35" s="652"/>
      <c r="D35" s="652"/>
      <c r="E35" s="652"/>
      <c r="F35" s="652"/>
      <c r="G35" s="652"/>
      <c r="H35" s="62"/>
      <c r="I35" s="62"/>
      <c r="J35" s="62"/>
      <c r="K35" s="560"/>
      <c r="L35" s="560"/>
      <c r="M35" s="560"/>
      <c r="N35" s="560"/>
      <c r="O35" s="560"/>
      <c r="P35" s="560"/>
      <c r="Q35" s="560"/>
      <c r="R35" s="80"/>
      <c r="S35" s="80"/>
      <c r="T35" s="80"/>
      <c r="U35" s="80"/>
      <c r="V35" s="80"/>
      <c r="W35" s="80"/>
      <c r="X35" s="80"/>
      <c r="Y35" s="80"/>
      <c r="Z35" s="80"/>
    </row>
    <row r="36" spans="2:29" ht="12.5" customHeight="1">
      <c r="N36" s="37"/>
    </row>
    <row r="37" spans="2:29">
      <c r="B37" s="1372" t="s">
        <v>285</v>
      </c>
      <c r="C37" s="1372"/>
      <c r="D37" s="1372"/>
      <c r="E37" s="1372"/>
      <c r="F37" s="1372"/>
      <c r="G37" s="1372"/>
      <c r="H37" s="1372"/>
      <c r="I37" s="1372"/>
      <c r="J37" s="1372"/>
      <c r="K37" s="1372"/>
      <c r="L37" s="1372"/>
      <c r="M37" s="1372"/>
      <c r="N37" s="1372"/>
      <c r="O37" s="1372"/>
      <c r="P37" s="1372"/>
      <c r="Q37" s="1372"/>
      <c r="R37" s="1372"/>
      <c r="S37" s="1372"/>
      <c r="T37" s="1372"/>
      <c r="U37" s="1372"/>
      <c r="V37" s="1372"/>
      <c r="W37" s="1372"/>
      <c r="X37" s="1372"/>
      <c r="Y37" s="1372"/>
      <c r="Z37" s="1372"/>
      <c r="AA37" s="1372"/>
      <c r="AB37" s="1372"/>
      <c r="AC37" s="1372"/>
    </row>
    <row r="38" spans="2:29" ht="9" customHeight="1">
      <c r="B38" s="1372"/>
      <c r="C38" s="1372"/>
      <c r="D38" s="1372"/>
      <c r="E38" s="1372"/>
      <c r="F38" s="1372"/>
      <c r="G38" s="1372"/>
      <c r="H38" s="1372"/>
      <c r="I38" s="1372"/>
      <c r="J38" s="1372"/>
      <c r="K38" s="1372"/>
      <c r="L38" s="1372"/>
      <c r="M38" s="1372"/>
      <c r="N38" s="1372"/>
      <c r="O38" s="1372"/>
      <c r="P38" s="1372"/>
      <c r="Q38" s="1372"/>
      <c r="R38" s="1372"/>
      <c r="S38" s="1372"/>
      <c r="T38" s="1372"/>
      <c r="U38" s="1372"/>
      <c r="V38" s="1372"/>
      <c r="W38" s="1372"/>
      <c r="X38" s="1372"/>
      <c r="Y38" s="1372"/>
      <c r="Z38" s="1372"/>
      <c r="AA38" s="1372"/>
      <c r="AB38" s="1372"/>
      <c r="AC38" s="1372"/>
    </row>
    <row r="39" spans="2:29" ht="14" customHeight="1">
      <c r="B39" s="1429" t="s">
        <v>286</v>
      </c>
      <c r="C39" s="1429"/>
      <c r="D39" s="1429"/>
      <c r="E39" s="1429"/>
      <c r="F39" s="1429"/>
      <c r="G39" s="1429"/>
      <c r="H39" s="1429"/>
      <c r="I39" s="1429"/>
      <c r="J39" s="1429"/>
      <c r="K39" s="1429"/>
      <c r="L39" s="1429"/>
      <c r="M39" s="1429"/>
      <c r="N39" s="1429"/>
      <c r="O39" s="1429"/>
      <c r="P39" s="1429"/>
      <c r="Q39" s="1429"/>
      <c r="R39" s="1429"/>
      <c r="S39" s="1429"/>
      <c r="T39" s="1429"/>
      <c r="U39" s="1429"/>
      <c r="V39" s="1429"/>
      <c r="W39" s="1429"/>
      <c r="X39" s="1429"/>
      <c r="Y39" s="1429"/>
      <c r="Z39" s="1429"/>
      <c r="AA39" s="1429"/>
      <c r="AB39" s="1429"/>
      <c r="AC39" s="1429"/>
    </row>
    <row r="40" spans="2:29">
      <c r="B40" s="1429"/>
      <c r="C40" s="1429"/>
      <c r="D40" s="1429"/>
      <c r="E40" s="1429"/>
      <c r="F40" s="1429"/>
      <c r="G40" s="1429"/>
      <c r="H40" s="1429"/>
      <c r="I40" s="1429"/>
      <c r="J40" s="1429"/>
      <c r="K40" s="1429"/>
      <c r="L40" s="1429"/>
      <c r="M40" s="1429"/>
      <c r="N40" s="1429"/>
      <c r="O40" s="1429"/>
      <c r="P40" s="1429"/>
      <c r="Q40" s="1429"/>
      <c r="R40" s="1429"/>
      <c r="S40" s="1429"/>
      <c r="T40" s="1429"/>
      <c r="U40" s="1429"/>
      <c r="V40" s="1429"/>
      <c r="W40" s="1429"/>
      <c r="X40" s="1429"/>
      <c r="Y40" s="1429"/>
      <c r="Z40" s="1429"/>
      <c r="AA40" s="1429"/>
      <c r="AB40" s="1429"/>
      <c r="AC40" s="1429"/>
    </row>
    <row r="41" spans="2:29" ht="8.5" customHeight="1">
      <c r="B41" s="1429"/>
      <c r="C41" s="1429"/>
      <c r="D41" s="1429"/>
      <c r="E41" s="1429"/>
      <c r="F41" s="1429"/>
      <c r="G41" s="1429"/>
      <c r="H41" s="1429"/>
      <c r="I41" s="1429"/>
      <c r="J41" s="1429"/>
      <c r="K41" s="1429"/>
      <c r="L41" s="1429"/>
      <c r="M41" s="1429"/>
      <c r="N41" s="1429"/>
      <c r="O41" s="1429"/>
      <c r="P41" s="1429"/>
      <c r="Q41" s="1429"/>
      <c r="R41" s="1429"/>
      <c r="S41" s="1429"/>
      <c r="T41" s="1429"/>
      <c r="U41" s="1429"/>
      <c r="V41" s="1429"/>
      <c r="W41" s="1429"/>
      <c r="X41" s="1429"/>
      <c r="Y41" s="1429"/>
      <c r="Z41" s="1429"/>
      <c r="AA41" s="1429"/>
      <c r="AB41" s="1429"/>
      <c r="AC41" s="1429"/>
    </row>
    <row r="42" spans="2:29" ht="12.5" customHeight="1"/>
    <row r="43" spans="2:29" ht="30.5" customHeight="1">
      <c r="B43" s="1390" t="s">
        <v>260</v>
      </c>
      <c r="C43" s="1430"/>
      <c r="D43" s="1402" t="s">
        <v>261</v>
      </c>
      <c r="E43" s="1403"/>
      <c r="F43" s="1403"/>
      <c r="G43" s="1403"/>
      <c r="H43" s="1403"/>
      <c r="I43" s="1403"/>
      <c r="J43" s="1403"/>
      <c r="K43" s="1403"/>
      <c r="L43" s="1403"/>
      <c r="M43" s="1387"/>
      <c r="N43" s="1425"/>
      <c r="O43" s="1398" t="s">
        <v>143</v>
      </c>
      <c r="P43" s="1399"/>
      <c r="Q43" s="1399"/>
      <c r="R43" s="1399"/>
      <c r="S43" s="1399"/>
      <c r="T43" s="1399"/>
      <c r="U43" s="1399"/>
      <c r="V43" s="1399"/>
      <c r="W43" s="1399"/>
      <c r="X43" s="1399"/>
      <c r="Y43" s="1399"/>
      <c r="Z43" s="1399"/>
      <c r="AA43" s="1399"/>
      <c r="AB43" s="1399"/>
      <c r="AC43" s="1400"/>
    </row>
    <row r="44" spans="2:29">
      <c r="B44" s="1392"/>
      <c r="C44" s="1431"/>
      <c r="D44" s="838">
        <v>2018</v>
      </c>
      <c r="E44" s="1373">
        <v>2019</v>
      </c>
      <c r="F44" s="1374"/>
      <c r="G44" s="1374"/>
      <c r="H44" s="1383"/>
      <c r="I44" s="1374">
        <v>2020</v>
      </c>
      <c r="J44" s="1374"/>
      <c r="K44" s="1374"/>
      <c r="L44" s="1374"/>
      <c r="M44" s="1373">
        <v>2021</v>
      </c>
      <c r="N44" s="1383"/>
      <c r="O44" s="1396">
        <v>2021</v>
      </c>
      <c r="P44" s="1385"/>
      <c r="Q44" s="1396">
        <v>2022</v>
      </c>
      <c r="R44" s="1384"/>
      <c r="S44" s="1384"/>
      <c r="T44" s="1385"/>
      <c r="U44" s="1396">
        <v>2023</v>
      </c>
      <c r="V44" s="1384"/>
      <c r="W44" s="1384"/>
      <c r="X44" s="1401"/>
      <c r="Y44" s="1396">
        <v>2024</v>
      </c>
      <c r="Z44" s="1401"/>
      <c r="AA44" s="1401"/>
      <c r="AB44" s="1385"/>
      <c r="AC44" s="475">
        <v>2025</v>
      </c>
    </row>
    <row r="45" spans="2:29">
      <c r="B45" s="1394"/>
      <c r="C45" s="1432"/>
      <c r="D45" s="224" t="s">
        <v>138</v>
      </c>
      <c r="E45" s="224" t="s">
        <v>135</v>
      </c>
      <c r="F45" s="200" t="s">
        <v>136</v>
      </c>
      <c r="G45" s="200" t="s">
        <v>137</v>
      </c>
      <c r="H45" s="208" t="s">
        <v>138</v>
      </c>
      <c r="I45" s="201" t="s">
        <v>135</v>
      </c>
      <c r="J45" s="201" t="s">
        <v>136</v>
      </c>
      <c r="K45" s="201" t="s">
        <v>137</v>
      </c>
      <c r="L45" s="201" t="s">
        <v>138</v>
      </c>
      <c r="M45" s="216" t="s">
        <v>135</v>
      </c>
      <c r="N45" s="208" t="s">
        <v>136</v>
      </c>
      <c r="O45" s="892" t="s">
        <v>137</v>
      </c>
      <c r="P45" s="893" t="s">
        <v>138</v>
      </c>
      <c r="Q45" s="891" t="s">
        <v>135</v>
      </c>
      <c r="R45" s="892" t="s">
        <v>136</v>
      </c>
      <c r="S45" s="892" t="s">
        <v>137</v>
      </c>
      <c r="T45" s="892" t="s">
        <v>138</v>
      </c>
      <c r="U45" s="891" t="s">
        <v>135</v>
      </c>
      <c r="V45" s="892" t="s">
        <v>136</v>
      </c>
      <c r="W45" s="892" t="s">
        <v>137</v>
      </c>
      <c r="X45" s="892" t="s">
        <v>138</v>
      </c>
      <c r="Y45" s="891" t="s">
        <v>135</v>
      </c>
      <c r="Z45" s="577" t="s">
        <v>136</v>
      </c>
      <c r="AA45" s="892" t="s">
        <v>137</v>
      </c>
      <c r="AB45" s="893" t="s">
        <v>138</v>
      </c>
      <c r="AC45" s="82" t="s">
        <v>135</v>
      </c>
    </row>
    <row r="46" spans="2:29" ht="15">
      <c r="B46" s="71" t="s">
        <v>6</v>
      </c>
      <c r="C46" s="914"/>
      <c r="D46" s="507"/>
      <c r="E46" s="508"/>
      <c r="F46" s="508"/>
      <c r="G46" s="508"/>
      <c r="H46" s="918">
        <f>Grants!H93</f>
        <v>70.894000000000005</v>
      </c>
      <c r="I46" s="918">
        <f>Grants!I93</f>
        <v>72.774000000000001</v>
      </c>
      <c r="J46" s="918">
        <f>Grants!J93</f>
        <v>75.275000000000006</v>
      </c>
      <c r="K46" s="918">
        <f>Grants!K93</f>
        <v>78.766999999999996</v>
      </c>
      <c r="L46" s="918">
        <f>Grants!L93</f>
        <v>76.995000000000005</v>
      </c>
      <c r="M46" s="918">
        <f>Grants!M93</f>
        <v>75.03</v>
      </c>
      <c r="N46" s="918">
        <f>Grants!N93</f>
        <v>76.701999999999998</v>
      </c>
      <c r="O46" s="100">
        <f>Grants!O93</f>
        <v>75.205285714285722</v>
      </c>
      <c r="P46" s="98">
        <f>Grants!P93</f>
        <v>75.205285714285722</v>
      </c>
      <c r="Q46" s="98">
        <f>Grants!Q93</f>
        <v>75.205285714285722</v>
      </c>
      <c r="R46" s="98">
        <f>Grants!R93</f>
        <v>75.205285714285722</v>
      </c>
      <c r="S46" s="98">
        <f>Grants!S93</f>
        <v>75.205285714285722</v>
      </c>
      <c r="T46" s="98">
        <f>Grants!T93</f>
        <v>75.205285714285722</v>
      </c>
      <c r="U46" s="98">
        <f>Grants!U93</f>
        <v>75.205285714285722</v>
      </c>
      <c r="V46" s="98">
        <f>Grants!V93</f>
        <v>75.205285714285722</v>
      </c>
      <c r="W46" s="98">
        <f>Grants!W93</f>
        <v>75.205285714285722</v>
      </c>
      <c r="X46" s="98">
        <f>Grants!X93</f>
        <v>75.205285714285722</v>
      </c>
      <c r="Y46" s="98">
        <f>Grants!Y93</f>
        <v>75.205285714285722</v>
      </c>
      <c r="Z46" s="98">
        <f>Grants!Z93</f>
        <v>75.205285714285722</v>
      </c>
      <c r="AA46" s="98">
        <f>Grants!AA93</f>
        <v>75.205285714285722</v>
      </c>
      <c r="AB46" s="98">
        <f>Grants!AB93</f>
        <v>75.205285714285722</v>
      </c>
      <c r="AC46" s="101">
        <f>Grants!AC93</f>
        <v>75.205285714285722</v>
      </c>
    </row>
    <row r="47" spans="2:29" ht="15">
      <c r="B47" s="72" t="s">
        <v>0</v>
      </c>
      <c r="C47" s="60"/>
      <c r="D47" s="919"/>
      <c r="E47" s="920"/>
      <c r="F47" s="920"/>
      <c r="G47" s="920"/>
      <c r="H47" s="512">
        <f>Grants!H74</f>
        <v>208.59399999999999</v>
      </c>
      <c r="I47" s="512">
        <f>Grants!I74</f>
        <v>212.48200000000003</v>
      </c>
      <c r="J47" s="512">
        <f>Grants!J74</f>
        <v>334.61</v>
      </c>
      <c r="K47" s="512">
        <f>Grants!K74</f>
        <v>301.78300000000002</v>
      </c>
      <c r="L47" s="512">
        <f>Grants!L74</f>
        <v>280.16300000000001</v>
      </c>
      <c r="M47" s="512">
        <f>Grants!M74</f>
        <v>310.15499999999997</v>
      </c>
      <c r="N47" s="512">
        <f>Grants!N74</f>
        <v>346.31500000000005</v>
      </c>
      <c r="O47" s="79">
        <f>Grants!O74</f>
        <v>357.37317644110277</v>
      </c>
      <c r="P47" s="78">
        <f>Grants!P74</f>
        <v>393.13708782957406</v>
      </c>
      <c r="Q47" s="78">
        <f>Grants!Q74</f>
        <v>401.59684440561404</v>
      </c>
      <c r="R47" s="78">
        <f>Grants!R74</f>
        <v>419.69377636126723</v>
      </c>
      <c r="S47" s="78">
        <f>Grants!S74</f>
        <v>438.34081535917659</v>
      </c>
      <c r="T47" s="78">
        <f>Grants!T74</f>
        <v>458.27990750346845</v>
      </c>
      <c r="U47" s="78">
        <f>Grants!U74</f>
        <v>478.97760180360723</v>
      </c>
      <c r="V47" s="78">
        <f>Grants!V74</f>
        <v>471.71644350775153</v>
      </c>
      <c r="W47" s="78">
        <f>Grants!W74</f>
        <v>479.39300748806158</v>
      </c>
      <c r="X47" s="78">
        <f>Grants!X74</f>
        <v>492.73634954758404</v>
      </c>
      <c r="Y47" s="78">
        <f>Grants!Y74</f>
        <v>481.54983616948743</v>
      </c>
      <c r="Z47" s="78">
        <f>Grants!Z74</f>
        <v>473.87554213626697</v>
      </c>
      <c r="AA47" s="78">
        <f>Grants!AA74</f>
        <v>489.00698046171772</v>
      </c>
      <c r="AB47" s="78">
        <f>Grants!AB74</f>
        <v>503.86304218018643</v>
      </c>
      <c r="AC47" s="76">
        <f>Grants!AC74</f>
        <v>511.23178213939389</v>
      </c>
    </row>
    <row r="48" spans="2:29" ht="15">
      <c r="B48" s="83" t="s">
        <v>171</v>
      </c>
      <c r="C48" s="856"/>
      <c r="D48" s="916"/>
      <c r="E48" s="917"/>
      <c r="F48" s="917"/>
      <c r="G48" s="917"/>
      <c r="H48" s="921">
        <f>H46+H47</f>
        <v>279.488</v>
      </c>
      <c r="I48" s="921">
        <f t="shared" ref="I48:AC48" si="30">I46+I47</f>
        <v>285.25600000000003</v>
      </c>
      <c r="J48" s="921">
        <f t="shared" si="30"/>
        <v>409.88499999999999</v>
      </c>
      <c r="K48" s="921">
        <f t="shared" si="30"/>
        <v>380.55</v>
      </c>
      <c r="L48" s="921">
        <f t="shared" si="30"/>
        <v>357.15800000000002</v>
      </c>
      <c r="M48" s="921">
        <f t="shared" si="30"/>
        <v>385.18499999999995</v>
      </c>
      <c r="N48" s="921">
        <f t="shared" si="30"/>
        <v>423.01700000000005</v>
      </c>
      <c r="O48" s="102">
        <f t="shared" si="30"/>
        <v>432.57846215538848</v>
      </c>
      <c r="P48" s="103">
        <f t="shared" si="30"/>
        <v>468.34237354385976</v>
      </c>
      <c r="Q48" s="103">
        <f t="shared" si="30"/>
        <v>476.80213011989974</v>
      </c>
      <c r="R48" s="103">
        <f t="shared" si="30"/>
        <v>494.89906207555293</v>
      </c>
      <c r="S48" s="103">
        <f t="shared" si="30"/>
        <v>513.5461010734623</v>
      </c>
      <c r="T48" s="103">
        <f t="shared" si="30"/>
        <v>533.48519321775416</v>
      </c>
      <c r="U48" s="103">
        <f t="shared" si="30"/>
        <v>554.18288751789294</v>
      </c>
      <c r="V48" s="103">
        <f t="shared" si="30"/>
        <v>546.92172922203724</v>
      </c>
      <c r="W48" s="103">
        <f t="shared" si="30"/>
        <v>554.59829320234735</v>
      </c>
      <c r="X48" s="103">
        <f t="shared" si="30"/>
        <v>567.94163526186981</v>
      </c>
      <c r="Y48" s="103">
        <f t="shared" si="30"/>
        <v>556.7551218837732</v>
      </c>
      <c r="Z48" s="103">
        <f t="shared" si="30"/>
        <v>549.08082785055274</v>
      </c>
      <c r="AA48" s="103">
        <f t="shared" si="30"/>
        <v>564.21226617600348</v>
      </c>
      <c r="AB48" s="103">
        <f t="shared" si="30"/>
        <v>579.06832789447219</v>
      </c>
      <c r="AC48" s="104">
        <f t="shared" si="30"/>
        <v>586.43706785367965</v>
      </c>
    </row>
    <row r="49" spans="22:58">
      <c r="AM49" s="1421" t="s">
        <v>296</v>
      </c>
      <c r="AN49" s="1422"/>
      <c r="AO49" s="1433" t="s">
        <v>261</v>
      </c>
      <c r="AP49" s="1434"/>
      <c r="AQ49" s="1434"/>
      <c r="AR49" s="1434"/>
      <c r="AS49" s="1434"/>
      <c r="AT49" s="1435"/>
      <c r="AU49" s="1436" t="s">
        <v>143</v>
      </c>
      <c r="AV49" s="1436"/>
      <c r="AW49" s="1436"/>
      <c r="AX49" s="1436"/>
      <c r="AY49" s="1436"/>
      <c r="AZ49" s="1436"/>
      <c r="BA49" s="1436"/>
      <c r="BB49" s="1436"/>
    </row>
    <row r="50" spans="22:58">
      <c r="AM50" s="1423"/>
      <c r="AN50" s="1424"/>
      <c r="AO50" s="38">
        <v>2019</v>
      </c>
      <c r="AP50" s="1373">
        <v>2020</v>
      </c>
      <c r="AQ50" s="1374"/>
      <c r="AR50" s="1374"/>
      <c r="AS50" s="1383"/>
      <c r="AT50" s="38">
        <v>2021</v>
      </c>
      <c r="AU50" s="1396">
        <v>2021</v>
      </c>
      <c r="AV50" s="1384"/>
      <c r="AW50" s="1385"/>
      <c r="AX50" s="1396">
        <v>2022</v>
      </c>
      <c r="AY50" s="1384"/>
      <c r="AZ50" s="1384"/>
      <c r="BA50" s="1385"/>
      <c r="BB50" s="63">
        <v>2023</v>
      </c>
    </row>
    <row r="51" spans="22:58">
      <c r="AM51" s="1423"/>
      <c r="AN51" s="1424"/>
      <c r="AO51" s="226" t="s">
        <v>138</v>
      </c>
      <c r="AP51" s="216" t="s">
        <v>135</v>
      </c>
      <c r="AQ51" s="201" t="s">
        <v>136</v>
      </c>
      <c r="AR51" s="201" t="s">
        <v>137</v>
      </c>
      <c r="AS51" s="208" t="s">
        <v>138</v>
      </c>
      <c r="AT51" s="226" t="s">
        <v>135</v>
      </c>
      <c r="AU51" s="644" t="s">
        <v>136</v>
      </c>
      <c r="AV51" s="645" t="s">
        <v>137</v>
      </c>
      <c r="AW51" s="646" t="s">
        <v>138</v>
      </c>
      <c r="AX51" s="644" t="s">
        <v>135</v>
      </c>
      <c r="AY51" s="645" t="s">
        <v>136</v>
      </c>
      <c r="AZ51" s="645" t="s">
        <v>137</v>
      </c>
      <c r="BA51" s="646" t="s">
        <v>138</v>
      </c>
      <c r="BB51" s="82" t="s">
        <v>135</v>
      </c>
    </row>
    <row r="52" spans="22:58" ht="30">
      <c r="AM52" s="774" t="s">
        <v>281</v>
      </c>
      <c r="AN52" s="789"/>
      <c r="AO52" s="81">
        <v>4.8</v>
      </c>
      <c r="AP52" s="694">
        <v>3.9</v>
      </c>
      <c r="AQ52" s="694">
        <v>3.2</v>
      </c>
      <c r="AR52" s="694">
        <v>3.8</v>
      </c>
      <c r="AS52" s="694">
        <v>3.7</v>
      </c>
      <c r="AT52" s="694">
        <v>3.7</v>
      </c>
      <c r="AU52" s="100">
        <v>3.7</v>
      </c>
      <c r="AV52" s="673">
        <v>3.7</v>
      </c>
      <c r="AW52" s="673">
        <v>3.8</v>
      </c>
      <c r="AX52" s="673">
        <v>3.8</v>
      </c>
      <c r="AY52" s="673">
        <v>3.9</v>
      </c>
      <c r="AZ52" s="673">
        <v>3.9</v>
      </c>
      <c r="BA52" s="673">
        <v>4</v>
      </c>
      <c r="BB52" s="101">
        <v>4</v>
      </c>
    </row>
    <row r="53" spans="22:58" ht="30">
      <c r="AM53" s="109" t="s">
        <v>1045</v>
      </c>
      <c r="AN53" s="652"/>
      <c r="AO53" s="70">
        <v>3.3969999999999998</v>
      </c>
      <c r="AP53" s="68">
        <v>4.1660000000000004</v>
      </c>
      <c r="AQ53" s="68">
        <v>-7.6660000000000004</v>
      </c>
      <c r="AR53" s="566">
        <v>-0.84299999999999997</v>
      </c>
      <c r="AS53" s="566">
        <v>2.097</v>
      </c>
      <c r="AT53" s="566">
        <v>9.5879999999999992</v>
      </c>
      <c r="AU53" s="564">
        <v>14.488</v>
      </c>
      <c r="AV53" s="565">
        <v>9.7850000000000001</v>
      </c>
      <c r="AW53" s="565">
        <v>5.202</v>
      </c>
      <c r="AX53" s="565">
        <v>5.4939999999999998</v>
      </c>
      <c r="AY53" s="565">
        <v>5.7560000000000002</v>
      </c>
      <c r="AZ53" s="565">
        <v>4.133</v>
      </c>
      <c r="BA53" s="565">
        <v>3.5270000000000001</v>
      </c>
      <c r="BB53" s="567">
        <v>3.488</v>
      </c>
    </row>
    <row r="54" spans="22:58" s="302" customFormat="1">
      <c r="AM54" s="302" t="s">
        <v>1186</v>
      </c>
      <c r="AO54" s="1136">
        <f>AO53</f>
        <v>3.3969999999999998</v>
      </c>
      <c r="AP54" s="1136">
        <f t="shared" ref="AP54:AT54" si="31">AP53</f>
        <v>4.1660000000000004</v>
      </c>
      <c r="AQ54" s="1136">
        <f t="shared" si="31"/>
        <v>-7.6660000000000004</v>
      </c>
      <c r="AR54" s="1136">
        <f t="shared" si="31"/>
        <v>-0.84299999999999997</v>
      </c>
      <c r="AS54" s="1136">
        <f t="shared" si="31"/>
        <v>2.097</v>
      </c>
      <c r="AT54" s="1136">
        <f t="shared" si="31"/>
        <v>9.5879999999999992</v>
      </c>
      <c r="AU54" s="1137">
        <f>N26</f>
        <v>9</v>
      </c>
      <c r="AV54" s="1137">
        <f t="shared" ref="AV54:BB54" si="32">O26</f>
        <v>10</v>
      </c>
      <c r="AW54" s="1137">
        <f t="shared" si="32"/>
        <v>10</v>
      </c>
      <c r="AX54" s="1137">
        <f t="shared" si="32"/>
        <v>9</v>
      </c>
      <c r="AY54" s="1137">
        <f t="shared" si="32"/>
        <v>8</v>
      </c>
      <c r="AZ54" s="1137">
        <f t="shared" si="32"/>
        <v>7</v>
      </c>
      <c r="BA54" s="1137">
        <f t="shared" si="32"/>
        <v>5.5</v>
      </c>
      <c r="BB54" s="1137">
        <f t="shared" si="32"/>
        <v>5</v>
      </c>
    </row>
    <row r="55" spans="22:58">
      <c r="V55" s="36"/>
      <c r="W55" s="36"/>
      <c r="X55" s="36"/>
      <c r="Y55" s="36"/>
      <c r="AM55" s="1427" t="s">
        <v>282</v>
      </c>
      <c r="AN55" s="1428"/>
      <c r="AO55" s="70"/>
      <c r="AP55" s="68"/>
      <c r="AQ55" s="68"/>
      <c r="AR55" s="566"/>
      <c r="AS55" s="566"/>
      <c r="AT55" s="566"/>
      <c r="AU55" s="564"/>
      <c r="AV55" s="565"/>
      <c r="AW55" s="565"/>
      <c r="AX55" s="565"/>
      <c r="AY55" s="565"/>
      <c r="AZ55" s="565"/>
      <c r="BA55" s="565"/>
      <c r="BB55" s="567"/>
    </row>
    <row r="56" spans="22:58" ht="30">
      <c r="V56" s="36"/>
      <c r="W56" s="36"/>
      <c r="X56" s="36"/>
      <c r="Y56" s="36"/>
      <c r="AM56" s="72" t="s">
        <v>298</v>
      </c>
      <c r="AN56" s="84"/>
      <c r="AO56" s="398">
        <v>2368</v>
      </c>
      <c r="AP56" s="399">
        <v>2391</v>
      </c>
      <c r="AQ56" s="399">
        <v>2410</v>
      </c>
      <c r="AR56" s="399">
        <v>2432</v>
      </c>
      <c r="AS56" s="399">
        <v>2455</v>
      </c>
      <c r="AT56" s="399">
        <v>2477</v>
      </c>
      <c r="AU56" s="576">
        <v>2500</v>
      </c>
      <c r="AV56" s="577">
        <v>2523</v>
      </c>
      <c r="AW56" s="577">
        <v>2546</v>
      </c>
      <c r="AX56" s="577">
        <v>2571</v>
      </c>
      <c r="AY56" s="577">
        <v>2595</v>
      </c>
      <c r="AZ56" s="577">
        <v>2621</v>
      </c>
      <c r="BA56" s="577">
        <v>2646</v>
      </c>
      <c r="BB56" s="578">
        <v>2672</v>
      </c>
    </row>
    <row r="57" spans="22:58" ht="30">
      <c r="V57" s="36"/>
      <c r="W57" s="36"/>
      <c r="X57" s="36"/>
      <c r="Y57" s="36"/>
      <c r="AM57" s="72" t="s">
        <v>297</v>
      </c>
      <c r="AN57" s="84"/>
      <c r="AO57" s="198">
        <v>2357</v>
      </c>
      <c r="AP57" s="48">
        <v>2382</v>
      </c>
      <c r="AQ57" s="48">
        <v>2335</v>
      </c>
      <c r="AR57" s="48">
        <v>2330</v>
      </c>
      <c r="AS57" s="48">
        <v>2318</v>
      </c>
      <c r="AT57" s="48">
        <v>2339</v>
      </c>
      <c r="AU57" s="644">
        <v>2361</v>
      </c>
      <c r="AV57" s="645">
        <v>2379</v>
      </c>
      <c r="AW57" s="645">
        <v>2397</v>
      </c>
      <c r="AX57" s="645">
        <v>2417</v>
      </c>
      <c r="AY57" s="645">
        <v>2439</v>
      </c>
      <c r="AZ57" s="645">
        <v>2462</v>
      </c>
      <c r="BA57" s="645">
        <v>2486</v>
      </c>
      <c r="BB57" s="646">
        <v>2513</v>
      </c>
    </row>
    <row r="58" spans="22:58" s="302" customFormat="1" ht="30">
      <c r="AM58" s="72" t="s">
        <v>1044</v>
      </c>
      <c r="AN58" s="84"/>
      <c r="AO58" s="795">
        <v>2357.4</v>
      </c>
      <c r="AP58" s="426">
        <v>2381.6</v>
      </c>
      <c r="AQ58" s="426">
        <v>2334.5</v>
      </c>
      <c r="AR58" s="426">
        <v>2329.6</v>
      </c>
      <c r="AS58" s="426">
        <v>2341.6999999999998</v>
      </c>
      <c r="AT58" s="426">
        <v>2395.9</v>
      </c>
      <c r="AU58" s="504">
        <v>2478.4</v>
      </c>
      <c r="AV58" s="505">
        <v>2536.9</v>
      </c>
      <c r="AW58" s="505">
        <v>2569.3000000000002</v>
      </c>
      <c r="AX58" s="505">
        <v>2603.9</v>
      </c>
      <c r="AY58" s="505">
        <v>2640.6</v>
      </c>
      <c r="AZ58" s="505">
        <v>2667.4</v>
      </c>
      <c r="BA58" s="505">
        <v>2690.6</v>
      </c>
      <c r="BB58" s="506">
        <v>2713.8</v>
      </c>
      <c r="BC58" s="796"/>
      <c r="BD58" s="796"/>
      <c r="BE58" s="796"/>
      <c r="BF58" s="796"/>
    </row>
    <row r="59" spans="22:58">
      <c r="V59" s="36"/>
      <c r="W59" s="36"/>
      <c r="X59" s="36"/>
      <c r="Y59" s="36"/>
      <c r="AM59" s="1419" t="s">
        <v>283</v>
      </c>
      <c r="AN59" s="1420"/>
      <c r="AO59" s="198"/>
      <c r="AP59" s="48"/>
      <c r="AQ59" s="48"/>
      <c r="AR59" s="48"/>
      <c r="AS59" s="48"/>
      <c r="AT59" s="48"/>
      <c r="AU59" s="644"/>
      <c r="AV59" s="645"/>
      <c r="AW59" s="645"/>
      <c r="AX59" s="645"/>
      <c r="AY59" s="645"/>
      <c r="AZ59" s="645"/>
      <c r="BA59" s="645"/>
      <c r="BB59" s="646"/>
    </row>
    <row r="60" spans="22:58" ht="30">
      <c r="V60" s="36"/>
      <c r="W60" s="36"/>
      <c r="X60" s="36"/>
      <c r="Y60" s="36"/>
      <c r="AM60" s="72" t="s">
        <v>298</v>
      </c>
      <c r="AN60" s="84"/>
      <c r="AO60" s="398">
        <f t="shared" ref="AO60:BB60" si="33">AO56-H48</f>
        <v>2088.5120000000002</v>
      </c>
      <c r="AP60" s="399">
        <f t="shared" si="33"/>
        <v>2105.7440000000001</v>
      </c>
      <c r="AQ60" s="399">
        <f t="shared" si="33"/>
        <v>2000.115</v>
      </c>
      <c r="AR60" s="399">
        <f t="shared" si="33"/>
        <v>2051.4499999999998</v>
      </c>
      <c r="AS60" s="399">
        <f t="shared" si="33"/>
        <v>2097.8420000000001</v>
      </c>
      <c r="AT60" s="399">
        <f t="shared" si="33"/>
        <v>2091.8150000000001</v>
      </c>
      <c r="AU60" s="576">
        <f t="shared" si="33"/>
        <v>2076.9830000000002</v>
      </c>
      <c r="AV60" s="577">
        <f t="shared" si="33"/>
        <v>2090.4215378446115</v>
      </c>
      <c r="AW60" s="577">
        <f t="shared" si="33"/>
        <v>2077.6576264561404</v>
      </c>
      <c r="AX60" s="577">
        <f t="shared" si="33"/>
        <v>2094.1978698801004</v>
      </c>
      <c r="AY60" s="577">
        <f t="shared" si="33"/>
        <v>2100.100937924447</v>
      </c>
      <c r="AZ60" s="577">
        <f t="shared" si="33"/>
        <v>2107.4538989265375</v>
      </c>
      <c r="BA60" s="577">
        <f t="shared" si="33"/>
        <v>2112.5148067822456</v>
      </c>
      <c r="BB60" s="578">
        <f t="shared" si="33"/>
        <v>2117.8171124821069</v>
      </c>
    </row>
    <row r="61" spans="22:58" ht="30">
      <c r="V61" s="36"/>
      <c r="W61" s="36"/>
      <c r="X61" s="36"/>
      <c r="Y61" s="36"/>
      <c r="AM61" s="72" t="s">
        <v>297</v>
      </c>
      <c r="AN61" s="84"/>
      <c r="AO61" s="398">
        <f t="shared" ref="AO61:BB61" si="34">AO57-H48</f>
        <v>2077.5120000000002</v>
      </c>
      <c r="AP61" s="399">
        <f t="shared" si="34"/>
        <v>2096.7440000000001</v>
      </c>
      <c r="AQ61" s="399">
        <f t="shared" si="34"/>
        <v>1925.115</v>
      </c>
      <c r="AR61" s="399">
        <f t="shared" si="34"/>
        <v>1949.45</v>
      </c>
      <c r="AS61" s="399">
        <f t="shared" si="34"/>
        <v>1960.8420000000001</v>
      </c>
      <c r="AT61" s="399">
        <f t="shared" si="34"/>
        <v>1953.8150000000001</v>
      </c>
      <c r="AU61" s="576">
        <f t="shared" si="34"/>
        <v>1937.9829999999999</v>
      </c>
      <c r="AV61" s="577">
        <f t="shared" si="34"/>
        <v>1946.4215378446115</v>
      </c>
      <c r="AW61" s="577">
        <f t="shared" si="34"/>
        <v>1928.6576264561402</v>
      </c>
      <c r="AX61" s="577">
        <f t="shared" si="34"/>
        <v>1940.1978698801004</v>
      </c>
      <c r="AY61" s="577">
        <f t="shared" si="34"/>
        <v>1944.100937924447</v>
      </c>
      <c r="AZ61" s="577">
        <f t="shared" si="34"/>
        <v>1948.4538989265377</v>
      </c>
      <c r="BA61" s="577">
        <f t="shared" si="34"/>
        <v>1952.5148067822458</v>
      </c>
      <c r="BB61" s="578">
        <f t="shared" si="34"/>
        <v>1958.8171124821069</v>
      </c>
    </row>
    <row r="62" spans="22:58" ht="30">
      <c r="AM62" s="203" t="s">
        <v>1044</v>
      </c>
      <c r="AN62" s="797"/>
      <c r="AO62" s="695">
        <f t="shared" ref="AO62:AU62" si="35">AO58-H48</f>
        <v>2077.9120000000003</v>
      </c>
      <c r="AP62" s="696">
        <f t="shared" si="35"/>
        <v>2096.3440000000001</v>
      </c>
      <c r="AQ62" s="696">
        <f t="shared" si="35"/>
        <v>1924.615</v>
      </c>
      <c r="AR62" s="696">
        <f t="shared" si="35"/>
        <v>1949.05</v>
      </c>
      <c r="AS62" s="696">
        <f t="shared" si="35"/>
        <v>1984.5419999999999</v>
      </c>
      <c r="AT62" s="696">
        <f t="shared" si="35"/>
        <v>2010.7150000000001</v>
      </c>
      <c r="AU62" s="697">
        <f t="shared" si="35"/>
        <v>2055.3829999999998</v>
      </c>
      <c r="AV62" s="698">
        <f t="shared" ref="AV62" si="36">AV58-O48</f>
        <v>2104.3215378446116</v>
      </c>
      <c r="AW62" s="698">
        <f t="shared" ref="AW62" si="37">AW58-P48</f>
        <v>2100.9576264561406</v>
      </c>
      <c r="AX62" s="698">
        <f t="shared" ref="AX62" si="38">AX58-Q48</f>
        <v>2127.0978698801005</v>
      </c>
      <c r="AY62" s="698">
        <f t="shared" ref="AY62" si="39">AY58-R48</f>
        <v>2145.7009379244469</v>
      </c>
      <c r="AZ62" s="698">
        <f>AZ58-S48</f>
        <v>2153.853898926538</v>
      </c>
      <c r="BA62" s="698">
        <f>BA58-T48</f>
        <v>2157.114806782246</v>
      </c>
      <c r="BB62" s="699">
        <f t="shared" ref="BB62" si="40">BB58-U48</f>
        <v>2159.6171124821071</v>
      </c>
    </row>
  </sheetData>
  <mergeCells count="40">
    <mergeCell ref="B2:AC4"/>
    <mergeCell ref="B1:AC1"/>
    <mergeCell ref="D22:N22"/>
    <mergeCell ref="M23:N23"/>
    <mergeCell ref="O23:P23"/>
    <mergeCell ref="B6:C8"/>
    <mergeCell ref="AO49:AT49"/>
    <mergeCell ref="AU49:BB49"/>
    <mergeCell ref="B22:C24"/>
    <mergeCell ref="O6:AC6"/>
    <mergeCell ref="O7:P7"/>
    <mergeCell ref="Q7:T7"/>
    <mergeCell ref="U7:X7"/>
    <mergeCell ref="Y7:AB7"/>
    <mergeCell ref="O22:AC22"/>
    <mergeCell ref="B17:AC17"/>
    <mergeCell ref="B18:AC20"/>
    <mergeCell ref="AP50:AS50"/>
    <mergeCell ref="AU50:AW50"/>
    <mergeCell ref="AX50:BA50"/>
    <mergeCell ref="AM55:AN55"/>
    <mergeCell ref="U23:X23"/>
    <mergeCell ref="U44:X44"/>
    <mergeCell ref="Y23:AB23"/>
    <mergeCell ref="O43:AC43"/>
    <mergeCell ref="Y44:AB44"/>
    <mergeCell ref="B39:AC41"/>
    <mergeCell ref="B37:AC38"/>
    <mergeCell ref="B43:C45"/>
    <mergeCell ref="I44:L44"/>
    <mergeCell ref="Q44:T44"/>
    <mergeCell ref="E23:H23"/>
    <mergeCell ref="E44:H44"/>
    <mergeCell ref="AM59:AN59"/>
    <mergeCell ref="AM49:AN51"/>
    <mergeCell ref="Q23:T23"/>
    <mergeCell ref="D43:N43"/>
    <mergeCell ref="M44:N44"/>
    <mergeCell ref="O44:P44"/>
    <mergeCell ref="I23:L23"/>
  </mergeCells>
  <pageMargins left="0.7" right="0.7" top="0.75" bottom="0.75" header="0.3" footer="0.3"/>
  <pageSetup orientation="portrait"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371A5-2E71-4CFB-9F14-A48841CD264E}">
  <dimension ref="A1:BZ62"/>
  <sheetViews>
    <sheetView zoomScale="62" zoomScaleNormal="80" workbookViewId="0">
      <selection activeCell="D31" sqref="D31"/>
    </sheetView>
  </sheetViews>
  <sheetFormatPr baseColWidth="10" defaultColWidth="10.83203125" defaultRowHeight="15"/>
  <cols>
    <col min="1" max="1" width="10.83203125" style="383"/>
    <col min="2" max="2" width="49.5" style="107" customWidth="1"/>
    <col min="3" max="3" width="10.83203125" style="107"/>
    <col min="4" max="5" width="10.83203125" style="560"/>
    <col min="6" max="25" width="6.6640625" style="107" customWidth="1"/>
    <col min="26" max="26" width="10.83203125" style="202"/>
    <col min="27" max="27" width="10.1640625" style="202" customWidth="1"/>
    <col min="28" max="78" width="10.83203125" style="202"/>
    <col min="79" max="16384" width="10.83203125" style="107"/>
  </cols>
  <sheetData>
    <row r="1" spans="1:78" s="239" customFormat="1">
      <c r="A1" s="383"/>
      <c r="B1" s="1372" t="s">
        <v>132</v>
      </c>
      <c r="C1" s="1372"/>
      <c r="D1" s="1372"/>
      <c r="E1" s="1372"/>
      <c r="F1" s="1372"/>
      <c r="G1" s="1372"/>
      <c r="H1" s="1372"/>
      <c r="I1" s="1372"/>
      <c r="J1" s="1372"/>
      <c r="K1" s="1372"/>
      <c r="L1" s="1372"/>
      <c r="M1" s="1372"/>
      <c r="N1" s="1372"/>
      <c r="O1" s="1372"/>
      <c r="P1" s="1372"/>
      <c r="Q1" s="1372"/>
      <c r="R1" s="1372"/>
      <c r="S1" s="1372"/>
      <c r="T1" s="1372"/>
      <c r="U1" s="1372"/>
      <c r="V1" s="1372"/>
      <c r="W1" s="1372"/>
      <c r="X1" s="1372"/>
      <c r="Y1" s="1372"/>
      <c r="Z1" s="1372"/>
      <c r="AA1" s="1372"/>
      <c r="AB1" s="1372"/>
      <c r="AC1" s="1372"/>
      <c r="AD1" s="202"/>
      <c r="AE1" s="202"/>
      <c r="AF1" s="202"/>
      <c r="AG1" s="202"/>
      <c r="AH1" s="202"/>
      <c r="AI1" s="202"/>
      <c r="AJ1" s="202"/>
      <c r="AK1" s="202"/>
      <c r="AL1" s="202"/>
      <c r="AM1" s="202"/>
      <c r="AN1" s="202"/>
      <c r="AO1" s="202"/>
      <c r="AP1" s="202"/>
      <c r="AQ1" s="202"/>
      <c r="AR1" s="202"/>
      <c r="AS1" s="202"/>
      <c r="AT1" s="202"/>
      <c r="AU1" s="202"/>
      <c r="AV1" s="202"/>
      <c r="AW1" s="202"/>
      <c r="AX1" s="202"/>
      <c r="AY1" s="202"/>
      <c r="AZ1" s="202"/>
      <c r="BA1" s="202"/>
      <c r="BB1" s="202"/>
      <c r="BC1" s="202"/>
      <c r="BD1" s="202"/>
      <c r="BE1" s="202"/>
      <c r="BF1" s="202"/>
      <c r="BG1" s="202"/>
      <c r="BH1" s="202"/>
      <c r="BI1" s="202"/>
      <c r="BJ1" s="202"/>
      <c r="BK1" s="202"/>
      <c r="BL1" s="202"/>
      <c r="BM1" s="202"/>
      <c r="BN1" s="202"/>
      <c r="BO1" s="202"/>
      <c r="BP1" s="202"/>
      <c r="BQ1" s="202"/>
      <c r="BR1" s="202"/>
      <c r="BS1" s="202"/>
      <c r="BT1" s="202"/>
      <c r="BU1" s="202"/>
      <c r="BV1" s="202"/>
      <c r="BW1" s="202"/>
      <c r="BX1" s="202"/>
      <c r="BY1" s="202"/>
      <c r="BZ1" s="202"/>
    </row>
    <row r="2" spans="1:78" s="209" customFormat="1" ht="14.5" customHeight="1">
      <c r="B2" s="1397" t="s">
        <v>634</v>
      </c>
      <c r="C2" s="1397"/>
      <c r="D2" s="1397"/>
      <c r="E2" s="1397"/>
      <c r="F2" s="1397"/>
      <c r="G2" s="1397"/>
      <c r="H2" s="1397"/>
      <c r="I2" s="1397"/>
      <c r="J2" s="1397"/>
      <c r="K2" s="1397"/>
      <c r="L2" s="1397"/>
      <c r="M2" s="1397"/>
      <c r="N2" s="1397"/>
      <c r="O2" s="1397"/>
      <c r="P2" s="1397"/>
      <c r="Q2" s="1397"/>
      <c r="R2" s="1397"/>
      <c r="S2" s="1397"/>
      <c r="T2" s="1397"/>
      <c r="U2" s="1397"/>
      <c r="V2" s="1397"/>
      <c r="W2" s="1397"/>
      <c r="X2" s="1397"/>
      <c r="Y2" s="1397"/>
      <c r="Z2" s="1397"/>
      <c r="AA2" s="1397"/>
      <c r="AB2" s="1397"/>
      <c r="AC2" s="1397"/>
      <c r="AD2" s="171"/>
      <c r="AE2" s="171"/>
      <c r="AF2" s="171"/>
      <c r="AG2" s="171"/>
      <c r="AH2" s="171"/>
      <c r="AI2" s="171"/>
      <c r="AJ2" s="171"/>
      <c r="AK2" s="171"/>
      <c r="AL2" s="171"/>
      <c r="AM2" s="171"/>
      <c r="AN2" s="171"/>
      <c r="AO2" s="171"/>
      <c r="AP2" s="171"/>
      <c r="AQ2" s="171"/>
      <c r="AR2" s="171"/>
      <c r="AS2" s="171"/>
      <c r="AT2" s="171"/>
      <c r="AU2" s="171"/>
      <c r="AV2" s="171"/>
      <c r="AW2" s="171"/>
      <c r="AX2" s="171"/>
      <c r="AY2" s="171"/>
      <c r="AZ2" s="171"/>
      <c r="BA2" s="171"/>
      <c r="BB2" s="171"/>
      <c r="BC2" s="171"/>
      <c r="BD2" s="171"/>
      <c r="BE2" s="171"/>
      <c r="BF2" s="171"/>
      <c r="BG2" s="171"/>
      <c r="BH2" s="171"/>
      <c r="BI2" s="171"/>
      <c r="BJ2" s="171"/>
      <c r="BK2" s="171"/>
      <c r="BL2" s="171"/>
      <c r="BM2" s="171"/>
      <c r="BN2" s="171"/>
      <c r="BO2" s="171"/>
      <c r="BP2" s="171"/>
      <c r="BQ2" s="171"/>
      <c r="BR2" s="171"/>
      <c r="BS2" s="171"/>
      <c r="BT2" s="171"/>
      <c r="BU2" s="171"/>
      <c r="BV2" s="171"/>
      <c r="BW2" s="171"/>
      <c r="BX2" s="171"/>
      <c r="BY2" s="171"/>
      <c r="BZ2" s="171"/>
    </row>
    <row r="3" spans="1:78" s="209" customFormat="1" ht="14.5" customHeight="1">
      <c r="B3" s="1397"/>
      <c r="C3" s="1397"/>
      <c r="D3" s="1397"/>
      <c r="E3" s="1397"/>
      <c r="F3" s="1397"/>
      <c r="G3" s="1397"/>
      <c r="H3" s="1397"/>
      <c r="I3" s="1397"/>
      <c r="J3" s="1397"/>
      <c r="K3" s="1397"/>
      <c r="L3" s="1397"/>
      <c r="M3" s="1397"/>
      <c r="N3" s="1397"/>
      <c r="O3" s="1397"/>
      <c r="P3" s="1397"/>
      <c r="Q3" s="1397"/>
      <c r="R3" s="1397"/>
      <c r="S3" s="1397"/>
      <c r="T3" s="1397"/>
      <c r="U3" s="1397"/>
      <c r="V3" s="1397"/>
      <c r="W3" s="1397"/>
      <c r="X3" s="1397"/>
      <c r="Y3" s="1397"/>
      <c r="Z3" s="1397"/>
      <c r="AA3" s="1397"/>
      <c r="AB3" s="1397"/>
      <c r="AC3" s="1397"/>
      <c r="AD3" s="171"/>
      <c r="AE3" s="171"/>
      <c r="AF3" s="171"/>
      <c r="AG3" s="171"/>
      <c r="AH3" s="171"/>
      <c r="AI3" s="171"/>
      <c r="AJ3" s="171"/>
      <c r="AK3" s="171"/>
      <c r="AL3" s="171"/>
      <c r="AM3" s="171"/>
      <c r="AN3" s="171"/>
      <c r="AO3" s="171"/>
      <c r="AP3" s="171"/>
      <c r="AQ3" s="171"/>
      <c r="AR3" s="171"/>
      <c r="AS3" s="171"/>
      <c r="AT3" s="171"/>
      <c r="AU3" s="171"/>
      <c r="AV3" s="171"/>
      <c r="AW3" s="171"/>
      <c r="AX3" s="171"/>
      <c r="AY3" s="171"/>
      <c r="AZ3" s="171"/>
      <c r="BA3" s="171"/>
      <c r="BB3" s="171"/>
      <c r="BC3" s="171"/>
      <c r="BD3" s="171"/>
      <c r="BE3" s="171"/>
      <c r="BF3" s="171"/>
      <c r="BG3" s="171"/>
      <c r="BH3" s="171"/>
      <c r="BI3" s="171"/>
      <c r="BJ3" s="171"/>
      <c r="BK3" s="171"/>
      <c r="BL3" s="171"/>
      <c r="BM3" s="171"/>
      <c r="BN3" s="171"/>
      <c r="BO3" s="171"/>
      <c r="BP3" s="171"/>
      <c r="BQ3" s="171"/>
      <c r="BR3" s="171"/>
      <c r="BS3" s="171"/>
      <c r="BT3" s="171"/>
      <c r="BU3" s="171"/>
      <c r="BV3" s="171"/>
      <c r="BW3" s="171"/>
      <c r="BX3" s="171"/>
      <c r="BY3" s="171"/>
      <c r="BZ3" s="171"/>
    </row>
    <row r="4" spans="1:78" s="209" customFormat="1" ht="14.5" customHeight="1">
      <c r="B4" s="1397"/>
      <c r="C4" s="1397"/>
      <c r="D4" s="1397"/>
      <c r="E4" s="1397"/>
      <c r="F4" s="1397"/>
      <c r="G4" s="1397"/>
      <c r="H4" s="1397"/>
      <c r="I4" s="1397"/>
      <c r="J4" s="1397"/>
      <c r="K4" s="1397"/>
      <c r="L4" s="1397"/>
      <c r="M4" s="1397"/>
      <c r="N4" s="1397"/>
      <c r="O4" s="1397"/>
      <c r="P4" s="1397"/>
      <c r="Q4" s="1397"/>
      <c r="R4" s="1397"/>
      <c r="S4" s="1397"/>
      <c r="T4" s="1397"/>
      <c r="U4" s="1397"/>
      <c r="V4" s="1397"/>
      <c r="W4" s="1397"/>
      <c r="X4" s="1397"/>
      <c r="Y4" s="1397"/>
      <c r="Z4" s="1397"/>
      <c r="AA4" s="1397"/>
      <c r="AB4" s="1397"/>
      <c r="AC4" s="1397"/>
      <c r="AD4" s="171"/>
      <c r="AE4" s="171"/>
      <c r="AF4" s="171"/>
      <c r="AG4" s="171"/>
      <c r="AH4" s="171"/>
      <c r="AI4" s="171"/>
      <c r="AJ4" s="171"/>
      <c r="AK4" s="171"/>
      <c r="AL4" s="171"/>
      <c r="AM4" s="171"/>
      <c r="AN4" s="171"/>
      <c r="AO4" s="171"/>
      <c r="AP4" s="171"/>
      <c r="AQ4" s="171"/>
      <c r="AR4" s="171"/>
      <c r="AS4" s="171"/>
      <c r="AT4" s="171"/>
      <c r="AU4" s="171"/>
      <c r="AV4" s="171"/>
      <c r="AW4" s="171"/>
      <c r="AX4" s="171"/>
      <c r="AY4" s="171"/>
      <c r="AZ4" s="171"/>
      <c r="BA4" s="171"/>
      <c r="BB4" s="171"/>
      <c r="BC4" s="171"/>
      <c r="BD4" s="171"/>
      <c r="BE4" s="171"/>
      <c r="BF4" s="171"/>
      <c r="BG4" s="171"/>
      <c r="BH4" s="171"/>
      <c r="BI4" s="171"/>
      <c r="BJ4" s="171"/>
      <c r="BK4" s="171"/>
      <c r="BL4" s="171"/>
      <c r="BM4" s="171"/>
      <c r="BN4" s="171"/>
      <c r="BO4" s="171"/>
      <c r="BP4" s="171"/>
      <c r="BQ4" s="171"/>
      <c r="BR4" s="171"/>
      <c r="BS4" s="171"/>
      <c r="BT4" s="171"/>
      <c r="BU4" s="171"/>
      <c r="BV4" s="171"/>
      <c r="BW4" s="171"/>
      <c r="BX4" s="171"/>
      <c r="BY4" s="171"/>
      <c r="BZ4" s="171"/>
    </row>
    <row r="5" spans="1:78" s="209" customFormat="1" ht="14.5" customHeight="1">
      <c r="B5" s="1397"/>
      <c r="C5" s="1397"/>
      <c r="D5" s="1397"/>
      <c r="E5" s="1397"/>
      <c r="F5" s="1397"/>
      <c r="G5" s="1397"/>
      <c r="H5" s="1397"/>
      <c r="I5" s="1397"/>
      <c r="J5" s="1397"/>
      <c r="K5" s="1397"/>
      <c r="L5" s="1397"/>
      <c r="M5" s="1397"/>
      <c r="N5" s="1397"/>
      <c r="O5" s="1397"/>
      <c r="P5" s="1397"/>
      <c r="Q5" s="1397"/>
      <c r="R5" s="1397"/>
      <c r="S5" s="1397"/>
      <c r="T5" s="1397"/>
      <c r="U5" s="1397"/>
      <c r="V5" s="1397"/>
      <c r="W5" s="1397"/>
      <c r="X5" s="1397"/>
      <c r="Y5" s="1397"/>
      <c r="Z5" s="1397"/>
      <c r="AA5" s="1397"/>
      <c r="AB5" s="1397"/>
      <c r="AC5" s="1397"/>
      <c r="AD5" s="171"/>
      <c r="AE5" s="171"/>
      <c r="AF5" s="171"/>
      <c r="AG5" s="171"/>
      <c r="AH5" s="171"/>
      <c r="AI5" s="171"/>
      <c r="AJ5" s="171"/>
      <c r="AK5" s="171"/>
      <c r="AL5" s="171"/>
      <c r="AM5" s="171"/>
      <c r="AN5" s="171"/>
      <c r="AO5" s="171"/>
      <c r="AP5" s="171"/>
      <c r="AQ5" s="171"/>
      <c r="AR5" s="171"/>
      <c r="AS5" s="171"/>
      <c r="AT5" s="171"/>
      <c r="AU5" s="171"/>
      <c r="AV5" s="171"/>
      <c r="AW5" s="171"/>
      <c r="AX5" s="171"/>
      <c r="AY5" s="171"/>
      <c r="AZ5" s="171"/>
      <c r="BA5" s="171"/>
      <c r="BB5" s="171"/>
      <c r="BC5" s="171"/>
      <c r="BD5" s="171"/>
      <c r="BE5" s="171"/>
      <c r="BF5" s="171"/>
      <c r="BG5" s="171"/>
      <c r="BH5" s="171"/>
      <c r="BI5" s="171"/>
      <c r="BJ5" s="171"/>
      <c r="BK5" s="171"/>
      <c r="BL5" s="171"/>
      <c r="BM5" s="171"/>
      <c r="BN5" s="171"/>
      <c r="BO5" s="171"/>
      <c r="BP5" s="171"/>
      <c r="BQ5" s="171"/>
      <c r="BR5" s="171"/>
      <c r="BS5" s="171"/>
      <c r="BT5" s="171"/>
      <c r="BU5" s="171"/>
      <c r="BV5" s="171"/>
      <c r="BW5" s="171"/>
      <c r="BX5" s="171"/>
      <c r="BY5" s="171"/>
      <c r="BZ5" s="171"/>
    </row>
    <row r="6" spans="1:78" s="209" customFormat="1" ht="14.5" customHeight="1">
      <c r="B6" s="1397"/>
      <c r="C6" s="1397"/>
      <c r="D6" s="1397"/>
      <c r="E6" s="1397"/>
      <c r="F6" s="1397"/>
      <c r="G6" s="1397"/>
      <c r="H6" s="1397"/>
      <c r="I6" s="1397"/>
      <c r="J6" s="1397"/>
      <c r="K6" s="1397"/>
      <c r="L6" s="1397"/>
      <c r="M6" s="1397"/>
      <c r="N6" s="1397"/>
      <c r="O6" s="1397"/>
      <c r="P6" s="1397"/>
      <c r="Q6" s="1397"/>
      <c r="R6" s="1397"/>
      <c r="S6" s="1397"/>
      <c r="T6" s="1397"/>
      <c r="U6" s="1397"/>
      <c r="V6" s="1397"/>
      <c r="W6" s="1397"/>
      <c r="X6" s="1397"/>
      <c r="Y6" s="1397"/>
      <c r="Z6" s="1397"/>
      <c r="AA6" s="1397"/>
      <c r="AB6" s="1397"/>
      <c r="AC6" s="1397"/>
      <c r="AD6" s="171"/>
      <c r="AE6" s="171"/>
      <c r="AF6" s="171"/>
      <c r="AG6" s="171"/>
      <c r="AH6" s="171"/>
      <c r="AI6" s="171"/>
      <c r="AJ6" s="171"/>
      <c r="AK6" s="171"/>
      <c r="AL6" s="171"/>
      <c r="AM6" s="171"/>
      <c r="AN6" s="171"/>
      <c r="AO6" s="171"/>
      <c r="AP6" s="171"/>
      <c r="AQ6" s="171"/>
      <c r="AR6" s="171"/>
      <c r="AS6" s="171"/>
      <c r="AT6" s="171"/>
      <c r="AU6" s="171"/>
      <c r="AV6" s="171"/>
      <c r="AW6" s="171"/>
      <c r="AX6" s="171"/>
      <c r="AY6" s="171"/>
      <c r="AZ6" s="171"/>
      <c r="BA6" s="171"/>
      <c r="BB6" s="171"/>
      <c r="BC6" s="171"/>
      <c r="BD6" s="171"/>
      <c r="BE6" s="171"/>
      <c r="BF6" s="171"/>
      <c r="BG6" s="171"/>
      <c r="BH6" s="171"/>
      <c r="BI6" s="171"/>
      <c r="BJ6" s="171"/>
      <c r="BK6" s="171"/>
      <c r="BL6" s="171"/>
      <c r="BM6" s="171"/>
      <c r="BN6" s="171"/>
      <c r="BO6" s="171"/>
      <c r="BP6" s="171"/>
      <c r="BQ6" s="171"/>
      <c r="BR6" s="171"/>
      <c r="BS6" s="171"/>
      <c r="BT6" s="171"/>
      <c r="BU6" s="171"/>
      <c r="BV6" s="171"/>
      <c r="BW6" s="171"/>
      <c r="BX6" s="171"/>
      <c r="BY6" s="171"/>
      <c r="BZ6" s="171"/>
    </row>
    <row r="7" spans="1:78" s="209" customFormat="1" ht="33.5" customHeight="1">
      <c r="B7" s="382"/>
      <c r="C7" s="382"/>
      <c r="D7" s="382"/>
      <c r="E7" s="382"/>
      <c r="F7" s="382"/>
      <c r="G7" s="382"/>
      <c r="H7" s="382"/>
      <c r="I7" s="382"/>
      <c r="J7" s="382"/>
      <c r="K7" s="382"/>
      <c r="L7" s="382"/>
      <c r="M7" s="382"/>
      <c r="N7" s="382"/>
      <c r="O7" s="382"/>
      <c r="P7" s="382"/>
      <c r="Q7" s="382"/>
      <c r="R7" s="382"/>
      <c r="S7" s="382"/>
      <c r="T7" s="382"/>
      <c r="U7" s="382"/>
      <c r="V7" s="382"/>
      <c r="W7" s="382"/>
      <c r="X7" s="382"/>
      <c r="Y7" s="382"/>
      <c r="Z7" s="171"/>
      <c r="AA7" s="171"/>
      <c r="AB7" s="171"/>
      <c r="AC7" s="171"/>
      <c r="AD7" s="171"/>
      <c r="AE7" s="171"/>
      <c r="AF7" s="171"/>
      <c r="AG7" s="171"/>
      <c r="AH7" s="171"/>
      <c r="AI7" s="171"/>
      <c r="AJ7" s="171"/>
      <c r="AK7" s="171"/>
      <c r="AL7" s="171"/>
      <c r="AM7" s="171"/>
      <c r="AN7" s="171"/>
      <c r="AO7" s="171"/>
      <c r="AP7" s="171"/>
      <c r="AQ7" s="171"/>
      <c r="AR7" s="171"/>
      <c r="AS7" s="171"/>
      <c r="AT7" s="171"/>
      <c r="AU7" s="171"/>
      <c r="AV7" s="171"/>
      <c r="AW7" s="171"/>
      <c r="AX7" s="171"/>
      <c r="AY7" s="171"/>
      <c r="AZ7" s="171"/>
      <c r="BA7" s="171"/>
      <c r="BB7" s="171"/>
      <c r="BC7" s="171"/>
      <c r="BD7" s="171"/>
      <c r="BE7" s="171"/>
      <c r="BF7" s="171"/>
      <c r="BG7" s="171"/>
      <c r="BH7" s="171"/>
      <c r="BI7" s="171"/>
      <c r="BJ7" s="171"/>
      <c r="BK7" s="171"/>
      <c r="BL7" s="171"/>
      <c r="BM7" s="171"/>
      <c r="BN7" s="171"/>
      <c r="BO7" s="171"/>
      <c r="BP7" s="171"/>
      <c r="BQ7" s="171"/>
      <c r="BR7" s="171"/>
      <c r="BS7" s="171"/>
      <c r="BT7" s="171"/>
      <c r="BU7" s="171"/>
      <c r="BV7" s="171"/>
      <c r="BW7" s="171"/>
      <c r="BX7" s="171"/>
      <c r="BY7" s="171"/>
      <c r="BZ7" s="171"/>
    </row>
    <row r="8" spans="1:78" ht="14.5" customHeight="1">
      <c r="B8" s="1390" t="s">
        <v>292</v>
      </c>
      <c r="C8" s="1391"/>
      <c r="D8" s="1402" t="s">
        <v>261</v>
      </c>
      <c r="E8" s="1403"/>
      <c r="F8" s="1403"/>
      <c r="G8" s="1403"/>
      <c r="H8" s="1403"/>
      <c r="I8" s="1403"/>
      <c r="J8" s="1403"/>
      <c r="K8" s="1403"/>
      <c r="L8" s="1403"/>
      <c r="M8" s="1387"/>
      <c r="N8" s="1425"/>
      <c r="O8" s="1388" t="s">
        <v>143</v>
      </c>
      <c r="P8" s="1437"/>
      <c r="Q8" s="1437"/>
      <c r="R8" s="1437"/>
      <c r="S8" s="1437"/>
      <c r="T8" s="1437"/>
      <c r="U8" s="1437"/>
      <c r="V8" s="1437"/>
      <c r="W8" s="1437"/>
      <c r="X8" s="1437"/>
      <c r="Y8" s="1399"/>
      <c r="Z8" s="1399"/>
      <c r="AA8" s="1399"/>
      <c r="AB8" s="1399"/>
      <c r="AC8" s="1400"/>
    </row>
    <row r="9" spans="1:78">
      <c r="B9" s="1392"/>
      <c r="C9" s="1393"/>
      <c r="D9" s="838">
        <v>2018</v>
      </c>
      <c r="E9" s="1373">
        <v>2019</v>
      </c>
      <c r="F9" s="1426"/>
      <c r="G9" s="1426"/>
      <c r="H9" s="1383"/>
      <c r="I9" s="1426">
        <v>2020</v>
      </c>
      <c r="J9" s="1374"/>
      <c r="K9" s="1374"/>
      <c r="L9" s="1374"/>
      <c r="M9" s="1373">
        <v>2021</v>
      </c>
      <c r="N9" s="1383"/>
      <c r="O9" s="1438">
        <v>2021</v>
      </c>
      <c r="P9" s="1439"/>
      <c r="Q9" s="1438">
        <v>2022</v>
      </c>
      <c r="R9" s="1442"/>
      <c r="S9" s="1442"/>
      <c r="T9" s="1442"/>
      <c r="U9" s="1438">
        <v>2023</v>
      </c>
      <c r="V9" s="1442"/>
      <c r="W9" s="1442"/>
      <c r="X9" s="1442"/>
      <c r="Y9" s="1396">
        <v>2024</v>
      </c>
      <c r="Z9" s="1401"/>
      <c r="AA9" s="1401"/>
      <c r="AB9" s="1401"/>
      <c r="AC9" s="475">
        <v>2025</v>
      </c>
    </row>
    <row r="10" spans="1:78">
      <c r="B10" s="1394"/>
      <c r="C10" s="1395"/>
      <c r="D10" s="224" t="s">
        <v>138</v>
      </c>
      <c r="E10" s="224" t="s">
        <v>135</v>
      </c>
      <c r="F10" s="200" t="s">
        <v>136</v>
      </c>
      <c r="G10" s="200" t="s">
        <v>137</v>
      </c>
      <c r="H10" s="208" t="s">
        <v>138</v>
      </c>
      <c r="I10" s="201" t="s">
        <v>135</v>
      </c>
      <c r="J10" s="201" t="s">
        <v>136</v>
      </c>
      <c r="K10" s="201" t="s">
        <v>137</v>
      </c>
      <c r="L10" s="201" t="s">
        <v>138</v>
      </c>
      <c r="M10" s="216" t="s">
        <v>135</v>
      </c>
      <c r="N10" s="208" t="s">
        <v>136</v>
      </c>
      <c r="O10" s="842" t="s">
        <v>137</v>
      </c>
      <c r="P10" s="1178" t="s">
        <v>138</v>
      </c>
      <c r="Q10" s="842" t="s">
        <v>135</v>
      </c>
      <c r="R10" s="843" t="s">
        <v>136</v>
      </c>
      <c r="S10" s="843" t="s">
        <v>137</v>
      </c>
      <c r="T10" s="843" t="s">
        <v>138</v>
      </c>
      <c r="U10" s="842" t="s">
        <v>135</v>
      </c>
      <c r="V10" s="843" t="s">
        <v>136</v>
      </c>
      <c r="W10" s="843" t="s">
        <v>137</v>
      </c>
      <c r="X10" s="843" t="s">
        <v>138</v>
      </c>
      <c r="Y10" s="1165" t="s">
        <v>135</v>
      </c>
      <c r="Z10" s="577" t="s">
        <v>136</v>
      </c>
      <c r="AA10" s="1166" t="s">
        <v>137</v>
      </c>
      <c r="AB10" s="1166" t="s">
        <v>138</v>
      </c>
      <c r="AC10" s="82" t="s">
        <v>135</v>
      </c>
    </row>
    <row r="11" spans="1:78" s="431" customFormat="1">
      <c r="B11" s="1445" t="s">
        <v>497</v>
      </c>
      <c r="C11" s="1446"/>
      <c r="D11" s="944"/>
      <c r="E11" s="945"/>
      <c r="F11" s="946">
        <v>60.5</v>
      </c>
      <c r="G11" s="946">
        <v>81.400000000000006</v>
      </c>
      <c r="H11" s="947">
        <f>'Haver Pivoted'!GS42</f>
        <v>82.2</v>
      </c>
      <c r="I11" s="947">
        <f>'Haver Pivoted'!GT42</f>
        <v>80.3</v>
      </c>
      <c r="J11" s="947">
        <f>'Haver Pivoted'!GU42</f>
        <v>1123.5999999999999</v>
      </c>
      <c r="K11" s="947">
        <f>'Haver Pivoted'!GV42</f>
        <v>1220.5</v>
      </c>
      <c r="L11" s="947">
        <f>'Haver Pivoted'!GW42</f>
        <v>618.6</v>
      </c>
      <c r="M11" s="947">
        <f>'Haver Pivoted'!GX42</f>
        <v>403.8</v>
      </c>
      <c r="N11" s="1054">
        <f>'Haver Pivoted'!GY42</f>
        <v>683.6</v>
      </c>
      <c r="O11" s="427">
        <f t="shared" ref="O11:AC11" si="0">O12+O13</f>
        <v>952.02769117608079</v>
      </c>
      <c r="P11" s="1051">
        <f t="shared" si="0"/>
        <v>226.5847885430976</v>
      </c>
      <c r="Q11" s="1051">
        <f t="shared" si="0"/>
        <v>193.29536842105261</v>
      </c>
      <c r="R11" s="1051">
        <f t="shared" si="0"/>
        <v>187.88183458646617</v>
      </c>
      <c r="S11" s="1051">
        <f t="shared" si="0"/>
        <v>187.88183458646617</v>
      </c>
      <c r="T11" s="1051">
        <f t="shared" si="0"/>
        <v>88.462000000000003</v>
      </c>
      <c r="U11" s="1051">
        <f t="shared" si="0"/>
        <v>88.462000000000003</v>
      </c>
      <c r="V11" s="1051">
        <f t="shared" si="0"/>
        <v>88.462000000000003</v>
      </c>
      <c r="W11" s="1051">
        <f t="shared" si="0"/>
        <v>88.462000000000003</v>
      </c>
      <c r="X11" s="1051">
        <f t="shared" si="0"/>
        <v>75.425000000000011</v>
      </c>
      <c r="Y11" s="1051">
        <f t="shared" si="0"/>
        <v>75.425000000000011</v>
      </c>
      <c r="Z11" s="1051">
        <f t="shared" si="0"/>
        <v>75.425000000000011</v>
      </c>
      <c r="AA11" s="1051">
        <f t="shared" si="0"/>
        <v>75.425000000000011</v>
      </c>
      <c r="AB11" s="1051">
        <f t="shared" si="0"/>
        <v>76.100000000000009</v>
      </c>
      <c r="AC11" s="1060">
        <f t="shared" si="0"/>
        <v>76.100000000000009</v>
      </c>
      <c r="AD11" s="432"/>
      <c r="AE11" s="432"/>
      <c r="AF11" s="432"/>
      <c r="AG11" s="432"/>
      <c r="AH11" s="432"/>
      <c r="AI11" s="432"/>
      <c r="AJ11" s="432"/>
      <c r="AK11" s="432"/>
      <c r="AL11" s="432"/>
      <c r="AM11" s="432"/>
      <c r="AN11" s="432"/>
      <c r="AO11" s="432"/>
      <c r="AP11" s="432"/>
      <c r="AQ11" s="432"/>
      <c r="AR11" s="432"/>
      <c r="AS11" s="432"/>
      <c r="AT11" s="432"/>
      <c r="AU11" s="432"/>
      <c r="AV11" s="432"/>
      <c r="AW11" s="432"/>
      <c r="AX11" s="432"/>
      <c r="AY11" s="432"/>
      <c r="AZ11" s="432"/>
      <c r="BA11" s="432"/>
      <c r="BB11" s="432"/>
      <c r="BC11" s="432"/>
      <c r="BD11" s="432"/>
      <c r="BE11" s="432"/>
      <c r="BF11" s="432"/>
      <c r="BG11" s="432"/>
      <c r="BH11" s="432"/>
      <c r="BI11" s="432"/>
      <c r="BJ11" s="432"/>
      <c r="BK11" s="432"/>
      <c r="BL11" s="432"/>
      <c r="BM11" s="432"/>
      <c r="BN11" s="432"/>
      <c r="BO11" s="432"/>
      <c r="BP11" s="432"/>
      <c r="BQ11" s="432"/>
      <c r="BR11" s="432"/>
      <c r="BS11" s="432"/>
      <c r="BT11" s="432"/>
      <c r="BU11" s="432"/>
      <c r="BV11" s="432"/>
      <c r="BW11" s="432"/>
      <c r="BX11" s="432"/>
      <c r="BY11" s="432"/>
      <c r="BZ11" s="432"/>
    </row>
    <row r="12" spans="1:78" ht="16.5" customHeight="1">
      <c r="B12" s="166" t="s">
        <v>406</v>
      </c>
      <c r="C12" s="378"/>
      <c r="D12" s="849"/>
      <c r="E12" s="850"/>
      <c r="F12" s="368">
        <f>F11</f>
        <v>60.5</v>
      </c>
      <c r="G12" s="368">
        <f>G11</f>
        <v>81.400000000000006</v>
      </c>
      <c r="H12" s="904">
        <f t="shared" ref="H12:M12" si="1">H11-H13</f>
        <v>82.2</v>
      </c>
      <c r="I12" s="904">
        <f t="shared" si="1"/>
        <v>80.3</v>
      </c>
      <c r="J12" s="904">
        <f t="shared" si="1"/>
        <v>134.09999999999991</v>
      </c>
      <c r="K12" s="904">
        <f t="shared" si="1"/>
        <v>93.900000000000091</v>
      </c>
      <c r="L12" s="904">
        <f t="shared" si="1"/>
        <v>80.199999999999932</v>
      </c>
      <c r="M12" s="904">
        <f t="shared" si="1"/>
        <v>73.900000000000034</v>
      </c>
      <c r="N12" s="904">
        <f>N11-N13</f>
        <v>75.399999999999977</v>
      </c>
      <c r="O12" s="194">
        <f t="shared" ref="O12:AC12" si="2">AVERAGE($F$11:$I$11)</f>
        <v>76.100000000000009</v>
      </c>
      <c r="P12" s="568">
        <f t="shared" si="2"/>
        <v>76.100000000000009</v>
      </c>
      <c r="Q12" s="568">
        <f t="shared" si="2"/>
        <v>76.100000000000009</v>
      </c>
      <c r="R12" s="568">
        <f t="shared" si="2"/>
        <v>76.100000000000009</v>
      </c>
      <c r="S12" s="568">
        <f t="shared" si="2"/>
        <v>76.100000000000009</v>
      </c>
      <c r="T12" s="568">
        <f t="shared" si="2"/>
        <v>76.100000000000009</v>
      </c>
      <c r="U12" s="568">
        <f t="shared" si="2"/>
        <v>76.100000000000009</v>
      </c>
      <c r="V12" s="568">
        <f t="shared" si="2"/>
        <v>76.100000000000009</v>
      </c>
      <c r="W12" s="568">
        <f t="shared" si="2"/>
        <v>76.100000000000009</v>
      </c>
      <c r="X12" s="568">
        <f t="shared" si="2"/>
        <v>76.100000000000009</v>
      </c>
      <c r="Y12" s="568">
        <f t="shared" si="2"/>
        <v>76.100000000000009</v>
      </c>
      <c r="Z12" s="568">
        <f t="shared" si="2"/>
        <v>76.100000000000009</v>
      </c>
      <c r="AA12" s="568">
        <f t="shared" si="2"/>
        <v>76.100000000000009</v>
      </c>
      <c r="AB12" s="568">
        <f t="shared" si="2"/>
        <v>76.100000000000009</v>
      </c>
      <c r="AC12" s="1180">
        <f t="shared" si="2"/>
        <v>76.100000000000009</v>
      </c>
    </row>
    <row r="13" spans="1:78">
      <c r="B13" s="112" t="s">
        <v>407</v>
      </c>
      <c r="C13" s="378"/>
      <c r="D13" s="849"/>
      <c r="E13" s="850"/>
      <c r="F13" s="948"/>
      <c r="G13" s="948"/>
      <c r="H13" s="904">
        <f>SUM(H16:H25)</f>
        <v>0</v>
      </c>
      <c r="I13" s="904">
        <f>SUM(I16:I25)</f>
        <v>0</v>
      </c>
      <c r="J13" s="904">
        <f t="shared" ref="J13:AC13" si="3">SUM(J16:J25)+J14</f>
        <v>989.5</v>
      </c>
      <c r="K13" s="904">
        <f t="shared" si="3"/>
        <v>1126.5999999999999</v>
      </c>
      <c r="L13" s="904">
        <f t="shared" si="3"/>
        <v>538.40000000000009</v>
      </c>
      <c r="M13" s="904">
        <f t="shared" si="3"/>
        <v>329.9</v>
      </c>
      <c r="N13" s="133">
        <f t="shared" si="3"/>
        <v>608.20000000000005</v>
      </c>
      <c r="O13" s="1055">
        <f t="shared" si="3"/>
        <v>875.92769117608077</v>
      </c>
      <c r="P13" s="939">
        <f t="shared" si="3"/>
        <v>150.48478854309758</v>
      </c>
      <c r="Q13" s="939">
        <f t="shared" si="3"/>
        <v>117.19536842105262</v>
      </c>
      <c r="R13" s="939">
        <f t="shared" si="3"/>
        <v>111.78183458646616</v>
      </c>
      <c r="S13" s="939">
        <f t="shared" si="3"/>
        <v>111.78183458646616</v>
      </c>
      <c r="T13" s="939">
        <f t="shared" si="3"/>
        <v>12.362</v>
      </c>
      <c r="U13" s="939">
        <f t="shared" si="3"/>
        <v>12.362</v>
      </c>
      <c r="V13" s="939">
        <f t="shared" si="3"/>
        <v>12.362</v>
      </c>
      <c r="W13" s="939">
        <f t="shared" si="3"/>
        <v>12.362</v>
      </c>
      <c r="X13" s="939">
        <f t="shared" si="3"/>
        <v>-0.67500000000000004</v>
      </c>
      <c r="Y13" s="939">
        <f t="shared" si="3"/>
        <v>-0.67500000000000004</v>
      </c>
      <c r="Z13" s="939">
        <f t="shared" si="3"/>
        <v>-0.67500000000000004</v>
      </c>
      <c r="AA13" s="939">
        <f t="shared" si="3"/>
        <v>-0.67500000000000004</v>
      </c>
      <c r="AB13" s="939">
        <f t="shared" si="3"/>
        <v>0</v>
      </c>
      <c r="AC13" s="1181">
        <f t="shared" si="3"/>
        <v>0</v>
      </c>
    </row>
    <row r="14" spans="1:78" s="324" customFormat="1">
      <c r="A14" s="383"/>
      <c r="B14" s="95" t="s">
        <v>481</v>
      </c>
      <c r="C14" s="117" t="s">
        <v>245</v>
      </c>
      <c r="D14" s="949"/>
      <c r="E14" s="903"/>
      <c r="F14" s="904"/>
      <c r="G14" s="904"/>
      <c r="H14" s="368">
        <f>'Haver Pivoted'!GS49</f>
        <v>0</v>
      </c>
      <c r="I14" s="368">
        <f>'Haver Pivoted'!GT49</f>
        <v>0</v>
      </c>
      <c r="J14" s="368">
        <f>'Haver Pivoted'!GU49</f>
        <v>576.9</v>
      </c>
      <c r="K14" s="368">
        <f>'Haver Pivoted'!GV49</f>
        <v>819.5</v>
      </c>
      <c r="L14" s="368">
        <f>'Haver Pivoted'!GW49</f>
        <v>246.3</v>
      </c>
      <c r="M14" s="368">
        <f>'Haver Pivoted'!GX49</f>
        <v>184.6</v>
      </c>
      <c r="N14" s="368">
        <f>'Haver Pivoted'!GY49</f>
        <v>427.2</v>
      </c>
      <c r="O14" s="194">
        <f>PPP!O54</f>
        <v>382.88528095051669</v>
      </c>
      <c r="P14" s="568">
        <f>PPP!P54</f>
        <v>31.996187039338174</v>
      </c>
      <c r="Q14" s="939"/>
      <c r="R14" s="939"/>
      <c r="S14" s="939"/>
      <c r="T14" s="939"/>
      <c r="U14" s="939"/>
      <c r="V14" s="939"/>
      <c r="W14" s="939"/>
      <c r="X14" s="939"/>
      <c r="Y14" s="939"/>
      <c r="Z14" s="247"/>
      <c r="AA14" s="247"/>
      <c r="AB14" s="247"/>
      <c r="AC14" s="1179"/>
      <c r="AD14" s="202"/>
      <c r="AE14" s="202"/>
      <c r="AF14" s="202"/>
      <c r="AG14" s="202"/>
      <c r="AH14" s="202"/>
      <c r="AI14" s="202"/>
      <c r="AJ14" s="202"/>
      <c r="AK14" s="202"/>
      <c r="AL14" s="202"/>
      <c r="AM14" s="202"/>
      <c r="AN14" s="202"/>
      <c r="AO14" s="202"/>
      <c r="AP14" s="202"/>
      <c r="AQ14" s="202"/>
      <c r="AR14" s="202"/>
      <c r="AS14" s="202"/>
      <c r="AT14" s="202"/>
      <c r="AU14" s="202"/>
      <c r="AV14" s="202"/>
      <c r="AW14" s="202"/>
      <c r="AX14" s="202"/>
      <c r="AY14" s="202"/>
      <c r="AZ14" s="202"/>
      <c r="BA14" s="202"/>
      <c r="BB14" s="202"/>
      <c r="BC14" s="202"/>
      <c r="BD14" s="202"/>
      <c r="BE14" s="202"/>
      <c r="BF14" s="202"/>
      <c r="BG14" s="202"/>
      <c r="BH14" s="202"/>
      <c r="BI14" s="202"/>
      <c r="BJ14" s="202"/>
      <c r="BK14" s="202"/>
      <c r="BL14" s="202"/>
      <c r="BM14" s="202"/>
      <c r="BN14" s="202"/>
      <c r="BO14" s="202"/>
      <c r="BP14" s="202"/>
      <c r="BQ14" s="202"/>
      <c r="BR14" s="202"/>
      <c r="BS14" s="202"/>
      <c r="BT14" s="202"/>
      <c r="BU14" s="202"/>
      <c r="BV14" s="202"/>
      <c r="BW14" s="202"/>
      <c r="BX14" s="202"/>
      <c r="BY14" s="202"/>
      <c r="BZ14" s="202"/>
    </row>
    <row r="15" spans="1:78" s="301" customFormat="1">
      <c r="A15" s="383"/>
      <c r="B15" s="112" t="s">
        <v>636</v>
      </c>
      <c r="C15" s="378"/>
      <c r="D15" s="849"/>
      <c r="E15" s="850"/>
      <c r="F15" s="948"/>
      <c r="G15" s="948"/>
      <c r="H15" s="904">
        <f t="shared" ref="H15:AC15" si="4">SUM(H16:H25)</f>
        <v>0</v>
      </c>
      <c r="I15" s="904">
        <f t="shared" si="4"/>
        <v>0</v>
      </c>
      <c r="J15" s="904">
        <f t="shared" si="4"/>
        <v>412.6</v>
      </c>
      <c r="K15" s="904">
        <f t="shared" si="4"/>
        <v>307.10000000000002</v>
      </c>
      <c r="L15" s="904">
        <f t="shared" si="4"/>
        <v>292.10000000000002</v>
      </c>
      <c r="M15" s="904">
        <f t="shared" si="4"/>
        <v>145.30000000000001</v>
      </c>
      <c r="N15" s="904">
        <f t="shared" si="4"/>
        <v>181.00000000000003</v>
      </c>
      <c r="O15" s="1056">
        <f t="shared" si="4"/>
        <v>493.04241022556403</v>
      </c>
      <c r="P15" s="940">
        <f t="shared" si="4"/>
        <v>118.4886015037594</v>
      </c>
      <c r="Q15" s="940">
        <f t="shared" si="4"/>
        <v>117.19536842105262</v>
      </c>
      <c r="R15" s="940">
        <f t="shared" si="4"/>
        <v>111.78183458646616</v>
      </c>
      <c r="S15" s="940">
        <f t="shared" si="4"/>
        <v>111.78183458646616</v>
      </c>
      <c r="T15" s="940">
        <f t="shared" si="4"/>
        <v>12.362</v>
      </c>
      <c r="U15" s="940">
        <f t="shared" si="4"/>
        <v>12.362</v>
      </c>
      <c r="V15" s="940">
        <f t="shared" si="4"/>
        <v>12.362</v>
      </c>
      <c r="W15" s="940">
        <f t="shared" si="4"/>
        <v>12.362</v>
      </c>
      <c r="X15" s="940">
        <f t="shared" si="4"/>
        <v>-0.67500000000000004</v>
      </c>
      <c r="Y15" s="940">
        <f t="shared" si="4"/>
        <v>-0.67500000000000004</v>
      </c>
      <c r="Z15" s="940">
        <f t="shared" si="4"/>
        <v>-0.67500000000000004</v>
      </c>
      <c r="AA15" s="940">
        <f t="shared" si="4"/>
        <v>-0.67500000000000004</v>
      </c>
      <c r="AB15" s="940">
        <f t="shared" si="4"/>
        <v>0</v>
      </c>
      <c r="AC15" s="1182">
        <f t="shared" si="4"/>
        <v>0</v>
      </c>
      <c r="AD15" s="202"/>
      <c r="AE15" s="202"/>
      <c r="AF15" s="202"/>
      <c r="AG15" s="202"/>
      <c r="AH15" s="202"/>
      <c r="AI15" s="202"/>
      <c r="AJ15" s="202"/>
      <c r="AK15" s="202"/>
      <c r="AL15" s="202"/>
      <c r="AM15" s="202"/>
      <c r="AN15" s="202"/>
      <c r="AO15" s="202"/>
      <c r="AP15" s="202"/>
      <c r="AQ15" s="202"/>
      <c r="AR15" s="202"/>
      <c r="AS15" s="202"/>
      <c r="AT15" s="202"/>
      <c r="AU15" s="202"/>
      <c r="AV15" s="202"/>
      <c r="AW15" s="202"/>
      <c r="AX15" s="202"/>
      <c r="AY15" s="202"/>
      <c r="AZ15" s="202"/>
      <c r="BA15" s="202"/>
      <c r="BB15" s="202"/>
      <c r="BC15" s="202"/>
      <c r="BD15" s="202"/>
      <c r="BE15" s="202"/>
      <c r="BF15" s="202"/>
      <c r="BG15" s="202"/>
      <c r="BH15" s="202"/>
      <c r="BI15" s="202"/>
      <c r="BJ15" s="202"/>
      <c r="BK15" s="202"/>
      <c r="BL15" s="202"/>
      <c r="BM15" s="202"/>
      <c r="BN15" s="202"/>
      <c r="BO15" s="202"/>
      <c r="BP15" s="202"/>
      <c r="BQ15" s="202"/>
      <c r="BR15" s="202"/>
      <c r="BS15" s="202"/>
      <c r="BT15" s="202"/>
      <c r="BU15" s="202"/>
      <c r="BV15" s="202"/>
      <c r="BW15" s="202"/>
      <c r="BX15" s="202"/>
      <c r="BY15" s="202"/>
      <c r="BZ15" s="202"/>
    </row>
    <row r="16" spans="1:78">
      <c r="B16" s="195" t="s">
        <v>408</v>
      </c>
      <c r="C16" s="362" t="s">
        <v>249</v>
      </c>
      <c r="D16" s="950"/>
      <c r="E16" s="905"/>
      <c r="F16" s="904"/>
      <c r="G16" s="904"/>
      <c r="H16" s="368">
        <f>'Haver Pivoted'!GS53</f>
        <v>0</v>
      </c>
      <c r="I16" s="368">
        <f>'Haver Pivoted'!GT53</f>
        <v>0</v>
      </c>
      <c r="J16" s="368">
        <f>'Haver Pivoted'!GU53</f>
        <v>16.899999999999999</v>
      </c>
      <c r="K16" s="368">
        <f>'Haver Pivoted'!GV53</f>
        <v>18.399999999999999</v>
      </c>
      <c r="L16" s="368">
        <f>'Haver Pivoted'!GW53</f>
        <v>46.2</v>
      </c>
      <c r="M16" s="368">
        <f>'Haver Pivoted'!GX53</f>
        <v>0.9</v>
      </c>
      <c r="N16" s="368">
        <f>'Haver Pivoted'!GY53</f>
        <v>1.8</v>
      </c>
      <c r="O16" s="194"/>
      <c r="P16" s="568"/>
      <c r="Q16" s="568"/>
      <c r="R16" s="568"/>
      <c r="S16" s="568"/>
      <c r="T16" s="568"/>
      <c r="U16" s="568"/>
      <c r="V16" s="350"/>
      <c r="W16" s="350"/>
      <c r="X16" s="350"/>
      <c r="Y16" s="350"/>
      <c r="Z16" s="247"/>
      <c r="AA16" s="247"/>
      <c r="AB16" s="247"/>
      <c r="AC16" s="1179"/>
    </row>
    <row r="17" spans="1:78">
      <c r="B17" s="195" t="s">
        <v>409</v>
      </c>
      <c r="C17" s="362" t="s">
        <v>247</v>
      </c>
      <c r="D17" s="950"/>
      <c r="E17" s="905"/>
      <c r="F17" s="904"/>
      <c r="G17" s="904"/>
      <c r="H17" s="368">
        <f>'Haver Pivoted'!GS51</f>
        <v>0</v>
      </c>
      <c r="I17" s="368">
        <f>'Haver Pivoted'!GT51</f>
        <v>0</v>
      </c>
      <c r="J17" s="368">
        <f>'Haver Pivoted'!GU51</f>
        <v>73.3</v>
      </c>
      <c r="K17" s="368">
        <f>'Haver Pivoted'!GV51</f>
        <v>73.3</v>
      </c>
      <c r="L17" s="368">
        <f>'Haver Pivoted'!GW51</f>
        <v>73.3</v>
      </c>
      <c r="M17" s="368">
        <f>'Haver Pivoted'!GX51</f>
        <v>62.9</v>
      </c>
      <c r="N17" s="368">
        <f>'Haver Pivoted'!GY51</f>
        <v>62.9</v>
      </c>
      <c r="O17" s="194">
        <f>$M$17</f>
        <v>62.9</v>
      </c>
      <c r="P17" s="568">
        <f>P34</f>
        <v>7.1439999999999992</v>
      </c>
      <c r="Q17" s="568">
        <f t="shared" ref="Q17:AC17" si="5">Q34</f>
        <v>7.1439999999999992</v>
      </c>
      <c r="R17" s="568">
        <f t="shared" si="5"/>
        <v>7.1439999999999992</v>
      </c>
      <c r="S17" s="568">
        <f t="shared" si="5"/>
        <v>7.1439999999999992</v>
      </c>
      <c r="T17" s="568">
        <f t="shared" si="5"/>
        <v>0</v>
      </c>
      <c r="U17" s="568">
        <f t="shared" si="5"/>
        <v>0</v>
      </c>
      <c r="V17" s="568">
        <f t="shared" si="5"/>
        <v>0</v>
      </c>
      <c r="W17" s="568">
        <f t="shared" si="5"/>
        <v>0</v>
      </c>
      <c r="X17" s="568">
        <f t="shared" si="5"/>
        <v>0</v>
      </c>
      <c r="Y17" s="568">
        <f t="shared" si="5"/>
        <v>0</v>
      </c>
      <c r="Z17" s="568">
        <f t="shared" si="5"/>
        <v>0</v>
      </c>
      <c r="AA17" s="568">
        <f t="shared" si="5"/>
        <v>0</v>
      </c>
      <c r="AB17" s="568">
        <f t="shared" si="5"/>
        <v>0</v>
      </c>
      <c r="AC17" s="1180">
        <f t="shared" si="5"/>
        <v>0</v>
      </c>
    </row>
    <row r="18" spans="1:78">
      <c r="B18" s="195" t="s">
        <v>410</v>
      </c>
      <c r="C18" s="117" t="s">
        <v>246</v>
      </c>
      <c r="D18" s="949"/>
      <c r="E18" s="903"/>
      <c r="F18" s="904"/>
      <c r="G18" s="904"/>
      <c r="H18" s="368">
        <f>'Haver Pivoted'!GS50</f>
        <v>0</v>
      </c>
      <c r="I18" s="368">
        <f>'Haver Pivoted'!GT50</f>
        <v>0</v>
      </c>
      <c r="J18" s="368">
        <f>'Haver Pivoted'!GU50</f>
        <v>63.8</v>
      </c>
      <c r="K18" s="368">
        <f>'Haver Pivoted'!GV50</f>
        <v>15</v>
      </c>
      <c r="L18" s="368">
        <f>'Haver Pivoted'!GW50</f>
        <v>0.1</v>
      </c>
      <c r="M18" s="368">
        <f>'Haver Pivoted'!GX50</f>
        <v>38</v>
      </c>
      <c r="N18" s="368">
        <f>'Haver Pivoted'!GY50</f>
        <v>47.3</v>
      </c>
      <c r="O18" s="194">
        <f t="shared" ref="O18:AC18" si="6">O28</f>
        <v>11</v>
      </c>
      <c r="P18" s="568">
        <f t="shared" si="6"/>
        <v>0</v>
      </c>
      <c r="Q18" s="568">
        <f t="shared" si="6"/>
        <v>0</v>
      </c>
      <c r="R18" s="568">
        <f t="shared" si="6"/>
        <v>0</v>
      </c>
      <c r="S18" s="568">
        <f t="shared" si="6"/>
        <v>0</v>
      </c>
      <c r="T18" s="568">
        <f t="shared" si="6"/>
        <v>0</v>
      </c>
      <c r="U18" s="568">
        <f t="shared" si="6"/>
        <v>0</v>
      </c>
      <c r="V18" s="568">
        <f t="shared" si="6"/>
        <v>0</v>
      </c>
      <c r="W18" s="568">
        <f t="shared" si="6"/>
        <v>0</v>
      </c>
      <c r="X18" s="568">
        <f t="shared" si="6"/>
        <v>0</v>
      </c>
      <c r="Y18" s="568">
        <f t="shared" si="6"/>
        <v>0</v>
      </c>
      <c r="Z18" s="568">
        <f t="shared" si="6"/>
        <v>0</v>
      </c>
      <c r="AA18" s="568">
        <f t="shared" si="6"/>
        <v>0</v>
      </c>
      <c r="AB18" s="568">
        <f t="shared" si="6"/>
        <v>0</v>
      </c>
      <c r="AC18" s="1180">
        <f t="shared" si="6"/>
        <v>0</v>
      </c>
    </row>
    <row r="19" spans="1:78">
      <c r="B19" s="195" t="s">
        <v>412</v>
      </c>
      <c r="C19" s="117" t="s">
        <v>250</v>
      </c>
      <c r="D19" s="949"/>
      <c r="E19" s="903"/>
      <c r="F19" s="904"/>
      <c r="G19" s="904"/>
      <c r="H19" s="368">
        <f>'Haver Pivoted'!GS54</f>
        <v>0</v>
      </c>
      <c r="I19" s="368">
        <f>'Haver Pivoted'!GT54</f>
        <v>0</v>
      </c>
      <c r="J19" s="368">
        <f>'Haver Pivoted'!GU54</f>
        <v>96.6</v>
      </c>
      <c r="K19" s="368">
        <f>'Haver Pivoted'!GV54</f>
        <v>35.1</v>
      </c>
      <c r="L19" s="368">
        <f>'Haver Pivoted'!GW54</f>
        <v>20.7</v>
      </c>
      <c r="M19" s="368">
        <f>'Haver Pivoted'!GX54</f>
        <v>25.7</v>
      </c>
      <c r="N19" s="368">
        <f>'Haver Pivoted'!GY54</f>
        <v>16</v>
      </c>
      <c r="O19" s="194">
        <f>'Provider Relief'!O13</f>
        <v>10.436090225563911</v>
      </c>
      <c r="P19" s="568">
        <f>'Provider Relief'!P13</f>
        <v>8.2406015037593985</v>
      </c>
      <c r="Q19" s="568">
        <f>'Provider Relief'!Q13</f>
        <v>6.9473684210526319</v>
      </c>
      <c r="R19" s="568">
        <f>'Provider Relief'!R13</f>
        <v>1.5338345864661653</v>
      </c>
      <c r="S19" s="568">
        <f>'Provider Relief'!S13</f>
        <v>1.5338345864661653</v>
      </c>
      <c r="T19" s="568">
        <f>'Provider Relief'!T13</f>
        <v>0</v>
      </c>
      <c r="U19" s="568"/>
      <c r="V19" s="568"/>
      <c r="W19" s="568"/>
      <c r="X19" s="568"/>
      <c r="Y19" s="568"/>
      <c r="Z19" s="247"/>
      <c r="AA19" s="247"/>
      <c r="AB19" s="247"/>
      <c r="AC19" s="1179"/>
    </row>
    <row r="20" spans="1:78">
      <c r="B20" s="195" t="s">
        <v>413</v>
      </c>
      <c r="C20" s="117" t="s">
        <v>248</v>
      </c>
      <c r="D20" s="949"/>
      <c r="E20" s="903"/>
      <c r="F20" s="904"/>
      <c r="G20" s="904"/>
      <c r="H20" s="368">
        <f>'Haver Pivoted'!GS52</f>
        <v>0</v>
      </c>
      <c r="I20" s="368">
        <f>'Haver Pivoted'!GT52</f>
        <v>0</v>
      </c>
      <c r="J20" s="368">
        <f>'Haver Pivoted'!GU52</f>
        <v>22</v>
      </c>
      <c r="K20" s="368">
        <f>'Haver Pivoted'!GV52</f>
        <v>25.3</v>
      </c>
      <c r="L20" s="368">
        <f>'Haver Pivoted'!GW52</f>
        <v>11.8</v>
      </c>
      <c r="M20" s="368">
        <f>'Haver Pivoted'!GX52</f>
        <v>9.8000000000000007</v>
      </c>
      <c r="N20" s="368">
        <f>'Haver Pivoted'!GY52</f>
        <v>12.3</v>
      </c>
      <c r="O20" s="194">
        <f>O35</f>
        <v>68.919360000000012</v>
      </c>
      <c r="P20" s="568">
        <f t="shared" ref="P20:AC20" si="7">P35</f>
        <v>5.6120000000000001</v>
      </c>
      <c r="Q20" s="568">
        <f t="shared" si="7"/>
        <v>5.6120000000000001</v>
      </c>
      <c r="R20" s="568">
        <f t="shared" si="7"/>
        <v>5.6120000000000001</v>
      </c>
      <c r="S20" s="568">
        <f t="shared" si="7"/>
        <v>5.6120000000000001</v>
      </c>
      <c r="T20" s="568">
        <f t="shared" si="7"/>
        <v>0.48599999999999993</v>
      </c>
      <c r="U20" s="568">
        <f t="shared" si="7"/>
        <v>0.48599999999999993</v>
      </c>
      <c r="V20" s="568">
        <f t="shared" si="7"/>
        <v>0.48599999999999993</v>
      </c>
      <c r="W20" s="568">
        <f t="shared" si="7"/>
        <v>0.48599999999999993</v>
      </c>
      <c r="X20" s="568">
        <f t="shared" si="7"/>
        <v>0</v>
      </c>
      <c r="Y20" s="568">
        <f t="shared" si="7"/>
        <v>0</v>
      </c>
      <c r="Z20" s="568">
        <f t="shared" si="7"/>
        <v>0</v>
      </c>
      <c r="AA20" s="568">
        <f t="shared" si="7"/>
        <v>0</v>
      </c>
      <c r="AB20" s="568">
        <f t="shared" si="7"/>
        <v>0</v>
      </c>
      <c r="AC20" s="1180">
        <f t="shared" si="7"/>
        <v>0</v>
      </c>
    </row>
    <row r="21" spans="1:78">
      <c r="B21" s="195" t="s">
        <v>414</v>
      </c>
      <c r="C21" s="117" t="s">
        <v>251</v>
      </c>
      <c r="D21" s="949"/>
      <c r="E21" s="903"/>
      <c r="F21" s="904"/>
      <c r="G21" s="904"/>
      <c r="H21" s="368">
        <f>'Haver Pivoted'!GS55</f>
        <v>0</v>
      </c>
      <c r="I21" s="368">
        <f>'Haver Pivoted'!GT55</f>
        <v>0</v>
      </c>
      <c r="J21" s="368">
        <f>'Haver Pivoted'!GU55</f>
        <v>140</v>
      </c>
      <c r="K21" s="368">
        <f>'Haver Pivoted'!GV55</f>
        <v>140</v>
      </c>
      <c r="L21" s="368">
        <f>'Haver Pivoted'!GW55</f>
        <v>140</v>
      </c>
      <c r="M21" s="368">
        <f>'Haver Pivoted'!GX55</f>
        <v>8</v>
      </c>
      <c r="N21" s="368">
        <f>'Haver Pivoted'!GY55</f>
        <v>8</v>
      </c>
      <c r="O21" s="194">
        <f>O36</f>
        <v>14.796080000000002</v>
      </c>
      <c r="P21" s="568">
        <f t="shared" ref="P21:AC21" si="8">P36</f>
        <v>1.7329999999999999</v>
      </c>
      <c r="Q21" s="568">
        <f t="shared" si="8"/>
        <v>1.7329999999999999</v>
      </c>
      <c r="R21" s="568">
        <f t="shared" si="8"/>
        <v>1.7329999999999999</v>
      </c>
      <c r="S21" s="568">
        <f t="shared" si="8"/>
        <v>1.7329999999999999</v>
      </c>
      <c r="T21" s="568">
        <f t="shared" si="8"/>
        <v>0</v>
      </c>
      <c r="U21" s="568">
        <f t="shared" si="8"/>
        <v>0</v>
      </c>
      <c r="V21" s="568">
        <f t="shared" si="8"/>
        <v>0</v>
      </c>
      <c r="W21" s="568">
        <f t="shared" si="8"/>
        <v>0</v>
      </c>
      <c r="X21" s="568">
        <f t="shared" si="8"/>
        <v>0</v>
      </c>
      <c r="Y21" s="568">
        <f t="shared" si="8"/>
        <v>0</v>
      </c>
      <c r="Z21" s="568">
        <f t="shared" si="8"/>
        <v>0</v>
      </c>
      <c r="AA21" s="568">
        <f t="shared" si="8"/>
        <v>0</v>
      </c>
      <c r="AB21" s="568">
        <f t="shared" si="8"/>
        <v>0</v>
      </c>
      <c r="AC21" s="1180">
        <f t="shared" si="8"/>
        <v>0</v>
      </c>
    </row>
    <row r="22" spans="1:78" s="560" customFormat="1">
      <c r="B22" s="1089" t="s">
        <v>305</v>
      </c>
      <c r="C22" s="903"/>
      <c r="D22" s="1235"/>
      <c r="E22" s="903"/>
      <c r="F22" s="904"/>
      <c r="G22" s="904"/>
      <c r="H22" s="368"/>
      <c r="I22" s="368"/>
      <c r="J22" s="368"/>
      <c r="K22" s="368"/>
      <c r="L22" s="368"/>
      <c r="M22" s="368"/>
      <c r="N22" s="368">
        <v>11.3</v>
      </c>
      <c r="O22" s="194">
        <f>O37+O30</f>
        <v>139.55290000000002</v>
      </c>
      <c r="P22" s="568">
        <f t="shared" ref="P22:AC22" si="9">P37+P30</f>
        <v>1.0687500000000001</v>
      </c>
      <c r="Q22" s="568">
        <f t="shared" si="9"/>
        <v>1.0687500000000001</v>
      </c>
      <c r="R22" s="568">
        <f t="shared" si="9"/>
        <v>1.0687500000000001</v>
      </c>
      <c r="S22" s="568">
        <f t="shared" si="9"/>
        <v>1.0687500000000001</v>
      </c>
      <c r="T22" s="568">
        <f t="shared" si="9"/>
        <v>0.78750000000000009</v>
      </c>
      <c r="U22" s="568">
        <f t="shared" si="9"/>
        <v>0.78750000000000009</v>
      </c>
      <c r="V22" s="568">
        <f t="shared" si="9"/>
        <v>0.78750000000000009</v>
      </c>
      <c r="W22" s="568">
        <f t="shared" si="9"/>
        <v>0.78750000000000009</v>
      </c>
      <c r="X22" s="568">
        <f t="shared" si="9"/>
        <v>0</v>
      </c>
      <c r="Y22" s="568">
        <f t="shared" si="9"/>
        <v>0</v>
      </c>
      <c r="Z22" s="568">
        <f t="shared" si="9"/>
        <v>0</v>
      </c>
      <c r="AA22" s="568">
        <f t="shared" si="9"/>
        <v>0</v>
      </c>
      <c r="AB22" s="568">
        <f t="shared" si="9"/>
        <v>0</v>
      </c>
      <c r="AC22" s="1180">
        <f t="shared" si="9"/>
        <v>0</v>
      </c>
      <c r="AD22" s="569"/>
      <c r="AE22" s="569"/>
      <c r="AF22" s="569"/>
      <c r="AG22" s="569"/>
      <c r="AH22" s="569"/>
      <c r="AI22" s="569"/>
      <c r="AJ22" s="569"/>
      <c r="AK22" s="569"/>
      <c r="AL22" s="569"/>
      <c r="AM22" s="569"/>
      <c r="AN22" s="569"/>
      <c r="AO22" s="569"/>
      <c r="AP22" s="569"/>
      <c r="AQ22" s="569"/>
      <c r="AR22" s="569"/>
      <c r="AS22" s="569"/>
      <c r="AT22" s="569"/>
      <c r="AU22" s="569"/>
      <c r="AV22" s="569"/>
      <c r="AW22" s="569"/>
      <c r="AX22" s="569"/>
      <c r="AY22" s="569"/>
      <c r="AZ22" s="569"/>
      <c r="BA22" s="569"/>
      <c r="BB22" s="569"/>
      <c r="BC22" s="569"/>
      <c r="BD22" s="569"/>
      <c r="BE22" s="569"/>
      <c r="BF22" s="569"/>
      <c r="BG22" s="569"/>
      <c r="BH22" s="569"/>
      <c r="BI22" s="569"/>
      <c r="BJ22" s="569"/>
      <c r="BK22" s="569"/>
      <c r="BL22" s="569"/>
      <c r="BM22" s="569"/>
      <c r="BN22" s="569"/>
      <c r="BO22" s="569"/>
      <c r="BP22" s="569"/>
      <c r="BQ22" s="569"/>
      <c r="BR22" s="569"/>
      <c r="BS22" s="569"/>
      <c r="BT22" s="569"/>
      <c r="BU22" s="569"/>
      <c r="BV22" s="569"/>
      <c r="BW22" s="569"/>
      <c r="BX22" s="569"/>
      <c r="BY22" s="569"/>
      <c r="BZ22" s="569"/>
    </row>
    <row r="23" spans="1:78" s="560" customFormat="1">
      <c r="B23" s="1089" t="s">
        <v>1173</v>
      </c>
      <c r="C23" s="903"/>
      <c r="D23" s="949"/>
      <c r="E23" s="903"/>
      <c r="F23" s="904"/>
      <c r="G23" s="904"/>
      <c r="H23" s="368"/>
      <c r="I23" s="368"/>
      <c r="J23" s="368"/>
      <c r="K23" s="368"/>
      <c r="L23" s="368"/>
      <c r="M23" s="368"/>
      <c r="N23" s="368">
        <v>21.4</v>
      </c>
      <c r="O23" s="194">
        <f>O38+O31</f>
        <v>160.92150000000004</v>
      </c>
      <c r="P23" s="568">
        <f t="shared" ref="P23:AC23" si="10">P38+P31</f>
        <v>1.7812500000000002</v>
      </c>
      <c r="Q23" s="568">
        <f t="shared" si="10"/>
        <v>1.7812500000000002</v>
      </c>
      <c r="R23" s="568">
        <f t="shared" si="10"/>
        <v>1.7812500000000002</v>
      </c>
      <c r="S23" s="568">
        <f t="shared" si="10"/>
        <v>1.7812500000000002</v>
      </c>
      <c r="T23" s="568">
        <f t="shared" si="10"/>
        <v>1.3125000000000002</v>
      </c>
      <c r="U23" s="568">
        <f t="shared" si="10"/>
        <v>1.3125000000000002</v>
      </c>
      <c r="V23" s="568">
        <f t="shared" si="10"/>
        <v>1.3125000000000002</v>
      </c>
      <c r="W23" s="568">
        <f t="shared" si="10"/>
        <v>1.3125000000000002</v>
      </c>
      <c r="X23" s="568">
        <f t="shared" si="10"/>
        <v>0</v>
      </c>
      <c r="Y23" s="568">
        <f t="shared" si="10"/>
        <v>0</v>
      </c>
      <c r="Z23" s="568">
        <f t="shared" si="10"/>
        <v>0</v>
      </c>
      <c r="AA23" s="568">
        <f t="shared" si="10"/>
        <v>0</v>
      </c>
      <c r="AB23" s="568">
        <f t="shared" si="10"/>
        <v>0</v>
      </c>
      <c r="AC23" s="1180">
        <f t="shared" si="10"/>
        <v>0</v>
      </c>
      <c r="AD23" s="569"/>
      <c r="AE23" s="569"/>
      <c r="AF23" s="569"/>
      <c r="AG23" s="569"/>
      <c r="AH23" s="569"/>
      <c r="AI23" s="569"/>
      <c r="AJ23" s="569"/>
      <c r="AK23" s="569"/>
      <c r="AL23" s="569"/>
      <c r="AM23" s="569"/>
      <c r="AN23" s="569"/>
      <c r="AO23" s="569"/>
      <c r="AP23" s="569"/>
      <c r="AQ23" s="569"/>
      <c r="AR23" s="569"/>
      <c r="AS23" s="569"/>
      <c r="AT23" s="569"/>
      <c r="AU23" s="569"/>
      <c r="AV23" s="569"/>
      <c r="AW23" s="569"/>
      <c r="AX23" s="569"/>
      <c r="AY23" s="569"/>
      <c r="AZ23" s="569"/>
      <c r="BA23" s="569"/>
      <c r="BB23" s="569"/>
      <c r="BC23" s="569"/>
      <c r="BD23" s="569"/>
      <c r="BE23" s="569"/>
      <c r="BF23" s="569"/>
      <c r="BG23" s="569"/>
      <c r="BH23" s="569"/>
      <c r="BI23" s="569"/>
      <c r="BJ23" s="569"/>
      <c r="BK23" s="569"/>
      <c r="BL23" s="569"/>
      <c r="BM23" s="569"/>
      <c r="BN23" s="569"/>
      <c r="BO23" s="569"/>
      <c r="BP23" s="569"/>
      <c r="BQ23" s="569"/>
      <c r="BR23" s="569"/>
      <c r="BS23" s="569"/>
      <c r="BT23" s="569"/>
      <c r="BU23" s="569"/>
      <c r="BV23" s="569"/>
      <c r="BW23" s="569"/>
      <c r="BX23" s="569"/>
      <c r="BY23" s="569"/>
      <c r="BZ23" s="569"/>
    </row>
    <row r="24" spans="1:78" s="560" customFormat="1">
      <c r="B24" s="1089" t="s">
        <v>1213</v>
      </c>
      <c r="C24" s="903"/>
      <c r="D24" s="949"/>
      <c r="E24" s="903"/>
      <c r="F24" s="904"/>
      <c r="G24" s="904"/>
      <c r="H24" s="368"/>
      <c r="I24" s="368"/>
      <c r="J24" s="368"/>
      <c r="K24" s="368"/>
      <c r="L24" s="368"/>
      <c r="M24" s="368"/>
      <c r="N24" s="368"/>
      <c r="O24" s="194">
        <f>O39+O40</f>
        <v>12.51648</v>
      </c>
      <c r="P24" s="568">
        <f t="shared" ref="P24:AC24" si="11">P39+P40</f>
        <v>92.908999999999992</v>
      </c>
      <c r="Q24" s="568">
        <f t="shared" si="11"/>
        <v>92.908999999999992</v>
      </c>
      <c r="R24" s="568">
        <f t="shared" si="11"/>
        <v>92.908999999999992</v>
      </c>
      <c r="S24" s="568">
        <f t="shared" si="11"/>
        <v>92.908999999999992</v>
      </c>
      <c r="T24" s="568">
        <f t="shared" si="11"/>
        <v>9.7759999999999998</v>
      </c>
      <c r="U24" s="568">
        <f t="shared" si="11"/>
        <v>9.7759999999999998</v>
      </c>
      <c r="V24" s="568">
        <f t="shared" si="11"/>
        <v>9.7759999999999998</v>
      </c>
      <c r="W24" s="568">
        <f t="shared" si="11"/>
        <v>9.7759999999999998</v>
      </c>
      <c r="X24" s="568">
        <f t="shared" si="11"/>
        <v>-0.67500000000000004</v>
      </c>
      <c r="Y24" s="568">
        <f t="shared" si="11"/>
        <v>-0.67500000000000004</v>
      </c>
      <c r="Z24" s="568">
        <f t="shared" si="11"/>
        <v>-0.67500000000000004</v>
      </c>
      <c r="AA24" s="568">
        <f t="shared" si="11"/>
        <v>-0.67500000000000004</v>
      </c>
      <c r="AB24" s="568">
        <f t="shared" si="11"/>
        <v>0</v>
      </c>
      <c r="AC24" s="1180">
        <f t="shared" si="11"/>
        <v>0</v>
      </c>
      <c r="AD24" s="569"/>
      <c r="AE24" s="569"/>
      <c r="AF24" s="569"/>
      <c r="AG24" s="569"/>
      <c r="AH24" s="569"/>
      <c r="AI24" s="569"/>
      <c r="AJ24" s="569"/>
      <c r="AK24" s="569"/>
      <c r="AL24" s="569"/>
      <c r="AM24" s="569"/>
      <c r="AN24" s="569"/>
      <c r="AO24" s="569"/>
      <c r="AP24" s="569"/>
      <c r="AQ24" s="569"/>
      <c r="AR24" s="569"/>
      <c r="AS24" s="569"/>
      <c r="AT24" s="569"/>
      <c r="AU24" s="569"/>
      <c r="AV24" s="569"/>
      <c r="AW24" s="569"/>
      <c r="AX24" s="569"/>
      <c r="AY24" s="569"/>
      <c r="AZ24" s="569"/>
      <c r="BA24" s="569"/>
      <c r="BB24" s="569"/>
      <c r="BC24" s="569"/>
      <c r="BD24" s="569"/>
      <c r="BE24" s="569"/>
      <c r="BF24" s="569"/>
      <c r="BG24" s="569"/>
      <c r="BH24" s="569"/>
      <c r="BI24" s="569"/>
      <c r="BJ24" s="569"/>
      <c r="BK24" s="569"/>
      <c r="BL24" s="569"/>
      <c r="BM24" s="569"/>
      <c r="BN24" s="569"/>
      <c r="BO24" s="569"/>
      <c r="BP24" s="569"/>
      <c r="BQ24" s="569"/>
      <c r="BR24" s="569"/>
      <c r="BS24" s="569"/>
      <c r="BT24" s="569"/>
      <c r="BU24" s="569"/>
      <c r="BV24" s="569"/>
      <c r="BW24" s="569"/>
      <c r="BX24" s="569"/>
      <c r="BY24" s="569"/>
      <c r="BZ24" s="569"/>
    </row>
    <row r="25" spans="1:78" s="301" customFormat="1">
      <c r="A25" s="383"/>
      <c r="B25" s="195" t="s">
        <v>499</v>
      </c>
      <c r="C25" s="117"/>
      <c r="D25" s="949"/>
      <c r="E25" s="903"/>
      <c r="F25" s="133"/>
      <c r="G25" s="133"/>
      <c r="H25" s="177"/>
      <c r="I25" s="177"/>
      <c r="J25" s="177"/>
      <c r="K25" s="177"/>
      <c r="L25" s="177"/>
      <c r="M25" s="177"/>
      <c r="N25" s="135"/>
      <c r="O25" s="1057">
        <f>O32</f>
        <v>12</v>
      </c>
      <c r="P25" s="1058">
        <f t="shared" ref="P25:AC25" si="12">P32</f>
        <v>0</v>
      </c>
      <c r="Q25" s="1058">
        <f t="shared" si="12"/>
        <v>0</v>
      </c>
      <c r="R25" s="1058">
        <f t="shared" si="12"/>
        <v>0</v>
      </c>
      <c r="S25" s="1058">
        <f t="shared" si="12"/>
        <v>0</v>
      </c>
      <c r="T25" s="1058">
        <f t="shared" si="12"/>
        <v>0</v>
      </c>
      <c r="U25" s="1058">
        <f t="shared" si="12"/>
        <v>0</v>
      </c>
      <c r="V25" s="1058">
        <f t="shared" si="12"/>
        <v>0</v>
      </c>
      <c r="W25" s="1058">
        <f t="shared" si="12"/>
        <v>0</v>
      </c>
      <c r="X25" s="1058">
        <f t="shared" si="12"/>
        <v>0</v>
      </c>
      <c r="Y25" s="1058">
        <f t="shared" si="12"/>
        <v>0</v>
      </c>
      <c r="Z25" s="1058">
        <f t="shared" si="12"/>
        <v>0</v>
      </c>
      <c r="AA25" s="1058">
        <f t="shared" si="12"/>
        <v>0</v>
      </c>
      <c r="AB25" s="1058">
        <f t="shared" si="12"/>
        <v>0</v>
      </c>
      <c r="AC25" s="1183">
        <f t="shared" si="12"/>
        <v>0</v>
      </c>
      <c r="AD25" s="202"/>
      <c r="AE25" s="202"/>
      <c r="AF25" s="202"/>
      <c r="AG25" s="202"/>
      <c r="AH25" s="202"/>
      <c r="AI25" s="202"/>
      <c r="AJ25" s="202"/>
      <c r="AK25" s="202"/>
      <c r="AL25" s="202"/>
      <c r="AM25" s="202"/>
      <c r="AN25" s="202"/>
      <c r="AO25" s="202"/>
      <c r="AP25" s="202"/>
      <c r="AQ25" s="202"/>
      <c r="AR25" s="202"/>
      <c r="AS25" s="202"/>
      <c r="AT25" s="202"/>
      <c r="AU25" s="202"/>
      <c r="AV25" s="202"/>
      <c r="AW25" s="202"/>
      <c r="AX25" s="202"/>
      <c r="AY25" s="202"/>
      <c r="AZ25" s="202"/>
      <c r="BA25" s="202"/>
      <c r="BB25" s="202"/>
      <c r="BC25" s="202"/>
      <c r="BD25" s="202"/>
      <c r="BE25" s="202"/>
      <c r="BF25" s="202"/>
      <c r="BG25" s="202"/>
      <c r="BH25" s="202"/>
      <c r="BI25" s="202"/>
      <c r="BJ25" s="202"/>
      <c r="BK25" s="202"/>
      <c r="BL25" s="202"/>
      <c r="BM25" s="202"/>
      <c r="BN25" s="202"/>
      <c r="BO25" s="202"/>
      <c r="BP25" s="202"/>
      <c r="BQ25" s="202"/>
      <c r="BR25" s="202"/>
      <c r="BS25" s="202"/>
      <c r="BT25" s="202"/>
      <c r="BU25" s="202"/>
      <c r="BV25" s="202"/>
      <c r="BW25" s="202"/>
      <c r="BX25" s="202"/>
      <c r="BY25" s="202"/>
      <c r="BZ25" s="202"/>
    </row>
    <row r="26" spans="1:78" ht="15" customHeight="1">
      <c r="B26" s="1443" t="s">
        <v>498</v>
      </c>
      <c r="C26" s="1444"/>
      <c r="D26" s="898"/>
      <c r="E26" s="1052"/>
      <c r="F26" s="1052"/>
      <c r="G26" s="1052"/>
      <c r="H26" s="1053"/>
      <c r="I26" s="1053"/>
      <c r="J26" s="1053"/>
      <c r="K26" s="1053"/>
      <c r="L26" s="1053"/>
      <c r="M26" s="1053"/>
      <c r="N26" s="1087"/>
      <c r="O26" s="194"/>
      <c r="P26" s="568"/>
      <c r="Q26" s="568"/>
      <c r="R26" s="568"/>
      <c r="S26" s="568"/>
      <c r="T26" s="568"/>
      <c r="U26" s="568"/>
      <c r="V26" s="247"/>
      <c r="W26" s="247"/>
      <c r="X26" s="247"/>
      <c r="Y26" s="247"/>
      <c r="Z26" s="247"/>
      <c r="AA26" s="247"/>
      <c r="AB26" s="247"/>
      <c r="AC26" s="1179"/>
    </row>
    <row r="27" spans="1:78">
      <c r="B27" s="112" t="s">
        <v>547</v>
      </c>
      <c r="C27" s="84"/>
      <c r="D27" s="61"/>
      <c r="E27" s="84"/>
      <c r="F27" s="896"/>
      <c r="G27" s="896"/>
      <c r="H27" s="90"/>
      <c r="I27" s="90"/>
      <c r="J27" s="90"/>
      <c r="K27" s="90"/>
      <c r="L27" s="90"/>
      <c r="M27" s="90"/>
      <c r="N27" s="135">
        <f>SUM(N28:N32)</f>
        <v>23</v>
      </c>
      <c r="O27" s="194">
        <f>SUM(O28:O32)</f>
        <v>162</v>
      </c>
      <c r="P27" s="568"/>
      <c r="Q27" s="568"/>
      <c r="R27" s="568"/>
      <c r="S27" s="568"/>
      <c r="T27" s="568"/>
      <c r="U27" s="568"/>
      <c r="V27" s="247"/>
      <c r="W27" s="247"/>
      <c r="X27" s="247"/>
      <c r="Y27" s="247"/>
      <c r="Z27" s="247"/>
      <c r="AA27" s="247"/>
      <c r="AB27" s="247"/>
      <c r="AC27" s="242"/>
    </row>
    <row r="28" spans="1:78">
      <c r="B28" s="95" t="s">
        <v>500</v>
      </c>
      <c r="C28" s="84"/>
      <c r="D28" s="61"/>
      <c r="E28" s="84"/>
      <c r="F28" s="896"/>
      <c r="G28" s="896"/>
      <c r="H28" s="90"/>
      <c r="I28" s="90"/>
      <c r="J28" s="90"/>
      <c r="K28" s="90"/>
      <c r="L28" s="197"/>
      <c r="M28" s="90"/>
      <c r="N28" s="135">
        <f>(4*'Response and Relief Act Score'!$F$15-$M$18)/2</f>
        <v>11</v>
      </c>
      <c r="O28" s="194">
        <f>(4*'Response and Relief Act Score'!$F$15-$M$18)/2</f>
        <v>11</v>
      </c>
      <c r="P28" s="568"/>
      <c r="Q28" s="568"/>
      <c r="R28" s="568"/>
      <c r="S28" s="568"/>
      <c r="T28" s="568"/>
      <c r="U28" s="568"/>
      <c r="V28" s="247"/>
      <c r="W28" s="247"/>
      <c r="X28" s="247"/>
      <c r="Y28" s="247"/>
      <c r="Z28" s="247"/>
      <c r="AA28" s="247"/>
      <c r="AB28" s="247"/>
      <c r="AC28" s="242"/>
    </row>
    <row r="29" spans="1:78" s="301" customFormat="1">
      <c r="A29" s="383"/>
      <c r="B29" s="95" t="s">
        <v>499</v>
      </c>
      <c r="C29" s="84"/>
      <c r="D29" s="61"/>
      <c r="E29" s="84"/>
      <c r="F29" s="896"/>
      <c r="G29" s="896"/>
      <c r="H29" s="90"/>
      <c r="I29" s="90"/>
      <c r="J29" s="90"/>
      <c r="K29" s="90"/>
      <c r="L29" s="197"/>
      <c r="M29" s="90"/>
      <c r="N29" s="135"/>
      <c r="O29" s="194"/>
      <c r="P29" s="568"/>
      <c r="Q29" s="568"/>
      <c r="R29" s="568"/>
      <c r="S29" s="568"/>
      <c r="T29" s="568"/>
      <c r="U29" s="568"/>
      <c r="V29" s="247"/>
      <c r="W29" s="247"/>
      <c r="X29" s="247"/>
      <c r="Y29" s="247"/>
      <c r="Z29" s="247"/>
      <c r="AA29" s="247"/>
      <c r="AB29" s="247"/>
      <c r="AC29" s="242"/>
      <c r="AD29" s="202"/>
      <c r="AE29" s="202"/>
      <c r="AF29" s="202"/>
      <c r="AG29" s="202"/>
      <c r="AH29" s="202"/>
      <c r="AI29" s="202"/>
      <c r="AJ29" s="202"/>
      <c r="AK29" s="202"/>
      <c r="AL29" s="202"/>
      <c r="AM29" s="202"/>
      <c r="AN29" s="202"/>
      <c r="AO29" s="202"/>
      <c r="AP29" s="202"/>
      <c r="AQ29" s="202"/>
      <c r="AR29" s="202"/>
      <c r="AS29" s="202"/>
      <c r="AT29" s="202"/>
      <c r="AU29" s="202"/>
      <c r="AV29" s="202"/>
      <c r="AW29" s="202"/>
      <c r="AX29" s="202"/>
      <c r="AY29" s="202"/>
      <c r="AZ29" s="202"/>
      <c r="BA29" s="202"/>
      <c r="BB29" s="202"/>
      <c r="BC29" s="202"/>
      <c r="BD29" s="202"/>
      <c r="BE29" s="202"/>
      <c r="BF29" s="202"/>
      <c r="BG29" s="202"/>
      <c r="BH29" s="202"/>
      <c r="BI29" s="202"/>
      <c r="BJ29" s="202"/>
      <c r="BK29" s="202"/>
      <c r="BL29" s="202"/>
      <c r="BM29" s="202"/>
      <c r="BN29" s="202"/>
      <c r="BO29" s="202"/>
      <c r="BP29" s="202"/>
      <c r="BQ29" s="202"/>
      <c r="BR29" s="202"/>
      <c r="BS29" s="202"/>
      <c r="BT29" s="202"/>
      <c r="BU29" s="202"/>
      <c r="BV29" s="202"/>
      <c r="BW29" s="202"/>
      <c r="BX29" s="202"/>
      <c r="BY29" s="202"/>
      <c r="BZ29" s="202"/>
    </row>
    <row r="30" spans="1:78">
      <c r="B30" s="292" t="s">
        <v>305</v>
      </c>
      <c r="C30" s="84"/>
      <c r="D30" s="61"/>
      <c r="E30" s="84"/>
      <c r="F30" s="896"/>
      <c r="G30" s="896"/>
      <c r="H30" s="90"/>
      <c r="I30" s="90"/>
      <c r="J30" s="90"/>
      <c r="K30" s="90"/>
      <c r="L30" s="90"/>
      <c r="M30" s="90"/>
      <c r="N30" s="135"/>
      <c r="O30" s="194">
        <v>79</v>
      </c>
      <c r="P30" s="568"/>
      <c r="Q30" s="91"/>
      <c r="R30" s="91"/>
      <c r="S30" s="91"/>
      <c r="T30" s="91"/>
      <c r="U30" s="91"/>
      <c r="V30" s="247"/>
      <c r="W30" s="247"/>
      <c r="X30" s="247"/>
      <c r="Y30" s="247"/>
      <c r="Z30" s="247"/>
      <c r="AA30" s="247"/>
      <c r="AB30" s="247"/>
      <c r="AC30" s="242"/>
    </row>
    <row r="31" spans="1:78">
      <c r="B31" s="297" t="s">
        <v>306</v>
      </c>
      <c r="C31" s="84"/>
      <c r="D31" s="61"/>
      <c r="E31" s="84"/>
      <c r="F31" s="896"/>
      <c r="G31" s="896"/>
      <c r="H31" s="90"/>
      <c r="I31" s="90"/>
      <c r="J31" s="90"/>
      <c r="K31" s="90"/>
      <c r="L31" s="90"/>
      <c r="M31" s="90"/>
      <c r="N31" s="135"/>
      <c r="O31" s="194">
        <f>'Response and Relief Act Score'!F13*4</f>
        <v>60</v>
      </c>
      <c r="P31" s="568"/>
      <c r="Q31" s="91"/>
      <c r="R31" s="91"/>
      <c r="S31" s="91"/>
      <c r="T31" s="91"/>
      <c r="U31" s="91"/>
      <c r="V31" s="247"/>
      <c r="W31" s="247"/>
      <c r="X31" s="247"/>
      <c r="Y31" s="247"/>
      <c r="Z31" s="247"/>
      <c r="AA31" s="247"/>
      <c r="AB31" s="247"/>
      <c r="AC31" s="242"/>
    </row>
    <row r="32" spans="1:78" ht="30">
      <c r="B32" s="297" t="s">
        <v>307</v>
      </c>
      <c r="C32" s="84"/>
      <c r="D32" s="61"/>
      <c r="E32" s="84"/>
      <c r="F32" s="896"/>
      <c r="G32" s="896"/>
      <c r="H32" s="90"/>
      <c r="I32" s="90"/>
      <c r="J32" s="90"/>
      <c r="K32" s="90"/>
      <c r="L32" s="197"/>
      <c r="M32" s="90"/>
      <c r="N32" s="135">
        <f>'Response and Relief Act Score'!F14*4/2</f>
        <v>12</v>
      </c>
      <c r="O32" s="194">
        <f>'Response and Relief Act Score'!F14*4/2</f>
        <v>12</v>
      </c>
      <c r="P32" s="568"/>
      <c r="Q32" s="568"/>
      <c r="R32" s="568"/>
      <c r="S32" s="568"/>
      <c r="T32" s="568"/>
      <c r="U32" s="568"/>
      <c r="V32" s="247"/>
      <c r="W32" s="247"/>
      <c r="X32" s="247"/>
      <c r="Y32" s="247"/>
      <c r="Z32" s="247"/>
      <c r="AA32" s="247"/>
      <c r="AB32" s="247"/>
      <c r="AC32" s="1179"/>
    </row>
    <row r="33" spans="1:78" s="560" customFormat="1">
      <c r="B33" s="1440" t="s">
        <v>1214</v>
      </c>
      <c r="C33" s="1447"/>
      <c r="D33" s="1228"/>
      <c r="E33" s="1228"/>
      <c r="F33" s="424"/>
      <c r="G33" s="424"/>
      <c r="H33" s="425"/>
      <c r="I33" s="425"/>
      <c r="J33" s="425"/>
      <c r="K33" s="425"/>
      <c r="L33" s="428"/>
      <c r="M33" s="425"/>
      <c r="N33" s="1087"/>
      <c r="O33" s="427"/>
      <c r="P33" s="1051"/>
      <c r="Q33" s="1051"/>
      <c r="R33" s="1051"/>
      <c r="S33" s="1051"/>
      <c r="T33" s="1051"/>
      <c r="U33" s="1051"/>
      <c r="V33" s="1059"/>
      <c r="W33" s="1059"/>
      <c r="X33" s="1059"/>
      <c r="Y33" s="1059"/>
      <c r="Z33" s="1059"/>
      <c r="AA33" s="1059"/>
      <c r="AB33" s="1059"/>
      <c r="AC33" s="518"/>
      <c r="AD33" s="569"/>
      <c r="AE33" s="569"/>
      <c r="AF33" s="569"/>
      <c r="AG33" s="569"/>
      <c r="AH33" s="569"/>
      <c r="AI33" s="569"/>
      <c r="AJ33" s="569"/>
      <c r="AK33" s="569"/>
      <c r="AL33" s="569"/>
      <c r="AM33" s="569"/>
      <c r="AN33" s="569"/>
      <c r="AO33" s="569"/>
      <c r="AP33" s="569"/>
      <c r="AQ33" s="569"/>
      <c r="AR33" s="569"/>
      <c r="AS33" s="569"/>
      <c r="AT33" s="569"/>
      <c r="AU33" s="569"/>
      <c r="AV33" s="569"/>
      <c r="AW33" s="569"/>
      <c r="AX33" s="569"/>
      <c r="AY33" s="569"/>
      <c r="AZ33" s="569"/>
      <c r="BA33" s="569"/>
      <c r="BB33" s="569"/>
      <c r="BC33" s="569"/>
      <c r="BD33" s="569"/>
      <c r="BE33" s="569"/>
      <c r="BF33" s="569"/>
      <c r="BG33" s="569"/>
      <c r="BH33" s="569"/>
      <c r="BI33" s="569"/>
      <c r="BJ33" s="569"/>
      <c r="BK33" s="569"/>
      <c r="BL33" s="569"/>
      <c r="BM33" s="569"/>
      <c r="BN33" s="569"/>
      <c r="BO33" s="569"/>
      <c r="BP33" s="569"/>
      <c r="BQ33" s="569"/>
      <c r="BR33" s="569"/>
      <c r="BS33" s="569"/>
      <c r="BT33" s="569"/>
      <c r="BU33" s="569"/>
      <c r="BV33" s="569"/>
      <c r="BW33" s="569"/>
      <c r="BX33" s="569"/>
      <c r="BY33" s="569"/>
      <c r="BZ33" s="569"/>
    </row>
    <row r="34" spans="1:78" s="560" customFormat="1" ht="13.5" customHeight="1">
      <c r="B34" s="297" t="s">
        <v>409</v>
      </c>
      <c r="C34" s="1227"/>
      <c r="D34" s="84"/>
      <c r="E34" s="84"/>
      <c r="F34" s="1173"/>
      <c r="G34" s="1173"/>
      <c r="H34" s="90"/>
      <c r="I34" s="90"/>
      <c r="J34" s="90"/>
      <c r="K34" s="90"/>
      <c r="L34" s="197"/>
      <c r="M34" s="90">
        <f>'ARP Quarterly'!C18</f>
        <v>0</v>
      </c>
      <c r="N34" s="90">
        <f>'ARP Quarterly'!D18</f>
        <v>2.2132800000000001</v>
      </c>
      <c r="O34" s="194">
        <f>'ARP Quarterly'!E18</f>
        <v>10.082720000000002</v>
      </c>
      <c r="P34" s="568">
        <f>'ARP Quarterly'!F18</f>
        <v>7.1439999999999992</v>
      </c>
      <c r="Q34" s="568">
        <f>'ARP Quarterly'!G18</f>
        <v>7.1439999999999992</v>
      </c>
      <c r="R34" s="568">
        <f>'ARP Quarterly'!H18</f>
        <v>7.1439999999999992</v>
      </c>
      <c r="S34" s="568">
        <f>'ARP Quarterly'!I18</f>
        <v>7.1439999999999992</v>
      </c>
      <c r="T34" s="568">
        <f>'ARP Quarterly'!J18</f>
        <v>0</v>
      </c>
      <c r="U34" s="568">
        <f>'ARP Quarterly'!K18</f>
        <v>0</v>
      </c>
      <c r="V34" s="568">
        <f>'ARP Quarterly'!L18</f>
        <v>0</v>
      </c>
      <c r="W34" s="568">
        <f>'ARP Quarterly'!M18</f>
        <v>0</v>
      </c>
      <c r="X34" s="568">
        <f>'ARP Quarterly'!N18</f>
        <v>0</v>
      </c>
      <c r="Y34" s="568">
        <f>'ARP Quarterly'!O18</f>
        <v>0</v>
      </c>
      <c r="Z34" s="568">
        <f>'ARP Quarterly'!P18</f>
        <v>0</v>
      </c>
      <c r="AA34" s="568">
        <f>'ARP Quarterly'!Q18</f>
        <v>0</v>
      </c>
      <c r="AB34" s="568">
        <f>'ARP Quarterly'!R18</f>
        <v>0</v>
      </c>
      <c r="AC34" s="1180">
        <f>'ARP Quarterly'!S18</f>
        <v>0</v>
      </c>
      <c r="AD34" s="569"/>
      <c r="AE34" s="569"/>
      <c r="AF34" s="569"/>
      <c r="AG34" s="569"/>
      <c r="AH34" s="569"/>
      <c r="AI34" s="569"/>
      <c r="AJ34" s="569"/>
      <c r="AK34" s="569"/>
      <c r="AL34" s="569"/>
      <c r="AM34" s="569"/>
      <c r="AN34" s="569"/>
      <c r="AO34" s="569"/>
      <c r="AP34" s="569"/>
      <c r="AQ34" s="569"/>
      <c r="AR34" s="569"/>
      <c r="AS34" s="569"/>
      <c r="AT34" s="569"/>
      <c r="AU34" s="569"/>
      <c r="AV34" s="569"/>
      <c r="AW34" s="569"/>
      <c r="AX34" s="569"/>
      <c r="AY34" s="569"/>
      <c r="AZ34" s="569"/>
      <c r="BA34" s="569"/>
      <c r="BB34" s="569"/>
      <c r="BC34" s="569"/>
      <c r="BD34" s="569"/>
      <c r="BE34" s="569"/>
      <c r="BF34" s="569"/>
      <c r="BG34" s="569"/>
      <c r="BH34" s="569"/>
      <c r="BI34" s="569"/>
      <c r="BJ34" s="569"/>
      <c r="BK34" s="569"/>
      <c r="BL34" s="569"/>
      <c r="BM34" s="569"/>
      <c r="BN34" s="569"/>
      <c r="BO34" s="569"/>
      <c r="BP34" s="569"/>
      <c r="BQ34" s="569"/>
      <c r="BR34" s="569"/>
      <c r="BS34" s="569"/>
      <c r="BT34" s="569"/>
      <c r="BU34" s="569"/>
      <c r="BV34" s="569"/>
      <c r="BW34" s="569"/>
      <c r="BX34" s="569"/>
      <c r="BY34" s="569"/>
      <c r="BZ34" s="569"/>
    </row>
    <row r="35" spans="1:78" s="560" customFormat="1">
      <c r="B35" s="297" t="s">
        <v>1215</v>
      </c>
      <c r="C35" s="1227"/>
      <c r="D35" s="84"/>
      <c r="E35" s="84"/>
      <c r="F35" s="1173"/>
      <c r="G35" s="1173"/>
      <c r="H35" s="90"/>
      <c r="I35" s="90"/>
      <c r="J35" s="90"/>
      <c r="K35" s="90"/>
      <c r="L35" s="197"/>
      <c r="M35" s="90">
        <f>'ARP Quarterly'!C19</f>
        <v>0</v>
      </c>
      <c r="N35" s="90">
        <f>'ARP Quarterly'!D19</f>
        <v>15.128640000000001</v>
      </c>
      <c r="O35" s="194">
        <f>'ARP Quarterly'!E19</f>
        <v>68.919360000000012</v>
      </c>
      <c r="P35" s="568">
        <f>'ARP Quarterly'!F19</f>
        <v>5.6120000000000001</v>
      </c>
      <c r="Q35" s="568">
        <f>'ARP Quarterly'!G19</f>
        <v>5.6120000000000001</v>
      </c>
      <c r="R35" s="568">
        <f>'ARP Quarterly'!H19</f>
        <v>5.6120000000000001</v>
      </c>
      <c r="S35" s="568">
        <f>'ARP Quarterly'!I19</f>
        <v>5.6120000000000001</v>
      </c>
      <c r="T35" s="568">
        <f>'ARP Quarterly'!J19</f>
        <v>0.48599999999999993</v>
      </c>
      <c r="U35" s="568">
        <f>'ARP Quarterly'!K19</f>
        <v>0.48599999999999993</v>
      </c>
      <c r="V35" s="568">
        <f>'ARP Quarterly'!L19</f>
        <v>0.48599999999999993</v>
      </c>
      <c r="W35" s="568">
        <f>'ARP Quarterly'!M19</f>
        <v>0.48599999999999993</v>
      </c>
      <c r="X35" s="568">
        <f>'ARP Quarterly'!N19</f>
        <v>0</v>
      </c>
      <c r="Y35" s="568">
        <f>'ARP Quarterly'!O19</f>
        <v>0</v>
      </c>
      <c r="Z35" s="568">
        <f>'ARP Quarterly'!P19</f>
        <v>0</v>
      </c>
      <c r="AA35" s="568">
        <f>'ARP Quarterly'!Q19</f>
        <v>0</v>
      </c>
      <c r="AB35" s="568">
        <f>'ARP Quarterly'!R19</f>
        <v>0</v>
      </c>
      <c r="AC35" s="1180">
        <f>'ARP Quarterly'!S19</f>
        <v>0</v>
      </c>
      <c r="AD35" s="569"/>
      <c r="AE35" s="569"/>
      <c r="AF35" s="569"/>
      <c r="AG35" s="569"/>
      <c r="AH35" s="569"/>
      <c r="AI35" s="569"/>
      <c r="AJ35" s="569"/>
      <c r="AK35" s="569"/>
      <c r="AL35" s="569"/>
      <c r="AM35" s="569"/>
      <c r="AN35" s="569"/>
      <c r="AO35" s="569"/>
      <c r="AP35" s="569"/>
      <c r="AQ35" s="569"/>
      <c r="AR35" s="569"/>
      <c r="AS35" s="569"/>
      <c r="AT35" s="569"/>
      <c r="AU35" s="569"/>
      <c r="AV35" s="569"/>
      <c r="AW35" s="569"/>
      <c r="AX35" s="569"/>
      <c r="AY35" s="569"/>
      <c r="AZ35" s="569"/>
      <c r="BA35" s="569"/>
      <c r="BB35" s="569"/>
      <c r="BC35" s="569"/>
      <c r="BD35" s="569"/>
      <c r="BE35" s="569"/>
      <c r="BF35" s="569"/>
      <c r="BG35" s="569"/>
      <c r="BH35" s="569"/>
      <c r="BI35" s="569"/>
      <c r="BJ35" s="569"/>
      <c r="BK35" s="569"/>
      <c r="BL35" s="569"/>
      <c r="BM35" s="569"/>
      <c r="BN35" s="569"/>
      <c r="BO35" s="569"/>
      <c r="BP35" s="569"/>
      <c r="BQ35" s="569"/>
      <c r="BR35" s="569"/>
      <c r="BS35" s="569"/>
      <c r="BT35" s="569"/>
      <c r="BU35" s="569"/>
      <c r="BV35" s="569"/>
      <c r="BW35" s="569"/>
      <c r="BX35" s="569"/>
      <c r="BY35" s="569"/>
      <c r="BZ35" s="569"/>
    </row>
    <row r="36" spans="1:78" s="560" customFormat="1">
      <c r="B36" s="297" t="s">
        <v>414</v>
      </c>
      <c r="C36" s="1227"/>
      <c r="D36" s="84"/>
      <c r="E36" s="84"/>
      <c r="F36" s="1173"/>
      <c r="G36" s="1173"/>
      <c r="H36" s="90"/>
      <c r="I36" s="90"/>
      <c r="J36" s="90"/>
      <c r="K36" s="90"/>
      <c r="L36" s="197"/>
      <c r="M36" s="90">
        <f>'ARP Quarterly'!C20</f>
        <v>0</v>
      </c>
      <c r="N36" s="90">
        <f>'ARP Quarterly'!D20</f>
        <v>3.2479199999999997</v>
      </c>
      <c r="O36" s="194">
        <f>'ARP Quarterly'!E20</f>
        <v>14.796080000000002</v>
      </c>
      <c r="P36" s="568">
        <f>'ARP Quarterly'!F20</f>
        <v>1.7329999999999999</v>
      </c>
      <c r="Q36" s="568">
        <f>'ARP Quarterly'!G20</f>
        <v>1.7329999999999999</v>
      </c>
      <c r="R36" s="568">
        <f>'ARP Quarterly'!H20</f>
        <v>1.7329999999999999</v>
      </c>
      <c r="S36" s="568">
        <f>'ARP Quarterly'!I20</f>
        <v>1.7329999999999999</v>
      </c>
      <c r="T36" s="568">
        <f>'ARP Quarterly'!J20</f>
        <v>0</v>
      </c>
      <c r="U36" s="568">
        <f>'ARP Quarterly'!K20</f>
        <v>0</v>
      </c>
      <c r="V36" s="568">
        <f>'ARP Quarterly'!L20</f>
        <v>0</v>
      </c>
      <c r="W36" s="568">
        <f>'ARP Quarterly'!M20</f>
        <v>0</v>
      </c>
      <c r="X36" s="568">
        <f>'ARP Quarterly'!N20</f>
        <v>0</v>
      </c>
      <c r="Y36" s="568">
        <f>'ARP Quarterly'!O20</f>
        <v>0</v>
      </c>
      <c r="Z36" s="568">
        <f>'ARP Quarterly'!P20</f>
        <v>0</v>
      </c>
      <c r="AA36" s="568">
        <f>'ARP Quarterly'!Q20</f>
        <v>0</v>
      </c>
      <c r="AB36" s="568">
        <f>'ARP Quarterly'!R20</f>
        <v>0</v>
      </c>
      <c r="AC36" s="1180">
        <f>'ARP Quarterly'!S20</f>
        <v>0</v>
      </c>
      <c r="AD36" s="569"/>
      <c r="AE36" s="569"/>
      <c r="AF36" s="569"/>
      <c r="AG36" s="569"/>
      <c r="AH36" s="569"/>
      <c r="AI36" s="569"/>
      <c r="AJ36" s="569"/>
      <c r="AK36" s="569"/>
      <c r="AL36" s="569"/>
      <c r="AM36" s="569"/>
      <c r="AN36" s="569"/>
      <c r="AO36" s="569"/>
      <c r="AP36" s="569"/>
      <c r="AQ36" s="569"/>
      <c r="AR36" s="569"/>
      <c r="AS36" s="569"/>
      <c r="AT36" s="569"/>
      <c r="AU36" s="569"/>
      <c r="AV36" s="569"/>
      <c r="AW36" s="569"/>
      <c r="AX36" s="569"/>
      <c r="AY36" s="569"/>
      <c r="AZ36" s="569"/>
      <c r="BA36" s="569"/>
      <c r="BB36" s="569"/>
      <c r="BC36" s="569"/>
      <c r="BD36" s="569"/>
      <c r="BE36" s="569"/>
      <c r="BF36" s="569"/>
      <c r="BG36" s="569"/>
      <c r="BH36" s="569"/>
      <c r="BI36" s="569"/>
      <c r="BJ36" s="569"/>
      <c r="BK36" s="569"/>
      <c r="BL36" s="569"/>
      <c r="BM36" s="569"/>
      <c r="BN36" s="569"/>
      <c r="BO36" s="569"/>
      <c r="BP36" s="569"/>
      <c r="BQ36" s="569"/>
      <c r="BR36" s="569"/>
      <c r="BS36" s="569"/>
      <c r="BT36" s="569"/>
      <c r="BU36" s="569"/>
      <c r="BV36" s="569"/>
      <c r="BW36" s="569"/>
      <c r="BX36" s="569"/>
      <c r="BY36" s="569"/>
      <c r="BZ36" s="569"/>
    </row>
    <row r="37" spans="1:78" s="560" customFormat="1">
      <c r="B37" s="297" t="s">
        <v>305</v>
      </c>
      <c r="C37" s="1227"/>
      <c r="D37" s="84"/>
      <c r="E37" s="84"/>
      <c r="F37" s="1173"/>
      <c r="G37" s="1173"/>
      <c r="H37" s="90"/>
      <c r="I37" s="90"/>
      <c r="J37" s="90"/>
      <c r="K37" s="90"/>
      <c r="L37" s="197"/>
      <c r="M37" s="90">
        <f>'ARP Quarterly'!C21</f>
        <v>0</v>
      </c>
      <c r="N37" s="90">
        <f>'ARP Quarterly'!D21</f>
        <v>13.2921</v>
      </c>
      <c r="O37" s="194">
        <f>'ARP Quarterly'!E21</f>
        <v>60.552900000000008</v>
      </c>
      <c r="P37" s="568">
        <f>'ARP Quarterly'!F21</f>
        <v>1.0687500000000001</v>
      </c>
      <c r="Q37" s="568">
        <f>'ARP Quarterly'!G21</f>
        <v>1.0687500000000001</v>
      </c>
      <c r="R37" s="568">
        <f>'ARP Quarterly'!H21</f>
        <v>1.0687500000000001</v>
      </c>
      <c r="S37" s="568">
        <f>'ARP Quarterly'!I21</f>
        <v>1.0687500000000001</v>
      </c>
      <c r="T37" s="568">
        <f>'ARP Quarterly'!J21</f>
        <v>0.78750000000000009</v>
      </c>
      <c r="U37" s="568">
        <f>'ARP Quarterly'!K21</f>
        <v>0.78750000000000009</v>
      </c>
      <c r="V37" s="568">
        <f>'ARP Quarterly'!L21</f>
        <v>0.78750000000000009</v>
      </c>
      <c r="W37" s="568">
        <f>'ARP Quarterly'!M21</f>
        <v>0.78750000000000009</v>
      </c>
      <c r="X37" s="568">
        <f>'ARP Quarterly'!N21</f>
        <v>0</v>
      </c>
      <c r="Y37" s="568">
        <f>'ARP Quarterly'!O21</f>
        <v>0</v>
      </c>
      <c r="Z37" s="568">
        <f>'ARP Quarterly'!P21</f>
        <v>0</v>
      </c>
      <c r="AA37" s="568">
        <f>'ARP Quarterly'!Q21</f>
        <v>0</v>
      </c>
      <c r="AB37" s="568">
        <f>'ARP Quarterly'!R21</f>
        <v>0</v>
      </c>
      <c r="AC37" s="1180">
        <f>'ARP Quarterly'!S21</f>
        <v>0</v>
      </c>
      <c r="AD37" s="569"/>
      <c r="AE37" s="569"/>
      <c r="AF37" s="569"/>
      <c r="AG37" s="569"/>
      <c r="AH37" s="569"/>
      <c r="AI37" s="569"/>
      <c r="AJ37" s="569"/>
      <c r="AK37" s="569"/>
      <c r="AL37" s="569"/>
      <c r="AM37" s="569"/>
      <c r="AN37" s="569"/>
      <c r="AO37" s="569"/>
      <c r="AP37" s="569"/>
      <c r="AQ37" s="569"/>
      <c r="AR37" s="569"/>
      <c r="AS37" s="569"/>
      <c r="AT37" s="569"/>
      <c r="AU37" s="569"/>
      <c r="AV37" s="569"/>
      <c r="AW37" s="569"/>
      <c r="AX37" s="569"/>
      <c r="AY37" s="569"/>
      <c r="AZ37" s="569"/>
      <c r="BA37" s="569"/>
      <c r="BB37" s="569"/>
      <c r="BC37" s="569"/>
      <c r="BD37" s="569"/>
      <c r="BE37" s="569"/>
      <c r="BF37" s="569"/>
      <c r="BG37" s="569"/>
      <c r="BH37" s="569"/>
      <c r="BI37" s="569"/>
      <c r="BJ37" s="569"/>
      <c r="BK37" s="569"/>
      <c r="BL37" s="569"/>
      <c r="BM37" s="569"/>
      <c r="BN37" s="569"/>
      <c r="BO37" s="569"/>
      <c r="BP37" s="569"/>
      <c r="BQ37" s="569"/>
      <c r="BR37" s="569"/>
      <c r="BS37" s="569"/>
      <c r="BT37" s="569"/>
      <c r="BU37" s="569"/>
      <c r="BV37" s="569"/>
      <c r="BW37" s="569"/>
      <c r="BX37" s="569"/>
      <c r="BY37" s="569"/>
      <c r="BZ37" s="569"/>
    </row>
    <row r="38" spans="1:78" s="560" customFormat="1" ht="30" customHeight="1">
      <c r="B38" s="297" t="s">
        <v>1216</v>
      </c>
      <c r="C38" s="1227"/>
      <c r="D38" s="84"/>
      <c r="E38" s="84"/>
      <c r="F38" s="1173"/>
      <c r="G38" s="1173"/>
      <c r="H38" s="90"/>
      <c r="I38" s="90"/>
      <c r="J38" s="90"/>
      <c r="K38" s="90"/>
      <c r="L38" s="197"/>
      <c r="M38" s="90">
        <f>'ARP Quarterly'!C22</f>
        <v>0</v>
      </c>
      <c r="N38" s="90">
        <f>'ARP Quarterly'!D22</f>
        <v>22.153499999999998</v>
      </c>
      <c r="O38" s="194">
        <f>'ARP Quarterly'!E22</f>
        <v>100.92150000000002</v>
      </c>
      <c r="P38" s="568">
        <f>'ARP Quarterly'!F22</f>
        <v>1.7812500000000002</v>
      </c>
      <c r="Q38" s="568">
        <f>'ARP Quarterly'!G22</f>
        <v>1.7812500000000002</v>
      </c>
      <c r="R38" s="568">
        <f>'ARP Quarterly'!H22</f>
        <v>1.7812500000000002</v>
      </c>
      <c r="S38" s="568">
        <f>'ARP Quarterly'!I22</f>
        <v>1.7812500000000002</v>
      </c>
      <c r="T38" s="568">
        <f>'ARP Quarterly'!J22</f>
        <v>1.3125000000000002</v>
      </c>
      <c r="U38" s="568">
        <f>'ARP Quarterly'!K22</f>
        <v>1.3125000000000002</v>
      </c>
      <c r="V38" s="568">
        <f>'ARP Quarterly'!L22</f>
        <v>1.3125000000000002</v>
      </c>
      <c r="W38" s="568">
        <f>'ARP Quarterly'!M22</f>
        <v>1.3125000000000002</v>
      </c>
      <c r="X38" s="568">
        <f>'ARP Quarterly'!N22</f>
        <v>0</v>
      </c>
      <c r="Y38" s="568">
        <f>'ARP Quarterly'!O22</f>
        <v>0</v>
      </c>
      <c r="Z38" s="568">
        <f>'ARP Quarterly'!P22</f>
        <v>0</v>
      </c>
      <c r="AA38" s="568">
        <f>'ARP Quarterly'!Q22</f>
        <v>0</v>
      </c>
      <c r="AB38" s="568">
        <f>'ARP Quarterly'!R22</f>
        <v>0</v>
      </c>
      <c r="AC38" s="1180">
        <f>'ARP Quarterly'!S22</f>
        <v>0</v>
      </c>
      <c r="AD38" s="569"/>
      <c r="AE38" s="569"/>
      <c r="AF38" s="569"/>
      <c r="AG38" s="569"/>
      <c r="AH38" s="569"/>
      <c r="AI38" s="569"/>
      <c r="AJ38" s="569"/>
      <c r="AK38" s="569"/>
      <c r="AL38" s="569"/>
      <c r="AM38" s="569"/>
      <c r="AN38" s="569"/>
      <c r="AO38" s="569"/>
      <c r="AP38" s="569"/>
      <c r="AQ38" s="569"/>
      <c r="AR38" s="569"/>
      <c r="AS38" s="569"/>
      <c r="AT38" s="569"/>
      <c r="AU38" s="569"/>
      <c r="AV38" s="569"/>
      <c r="AW38" s="569"/>
      <c r="AX38" s="569"/>
      <c r="AY38" s="569"/>
      <c r="AZ38" s="569"/>
      <c r="BA38" s="569"/>
      <c r="BB38" s="569"/>
      <c r="BC38" s="569"/>
      <c r="BD38" s="569"/>
      <c r="BE38" s="569"/>
      <c r="BF38" s="569"/>
      <c r="BG38" s="569"/>
      <c r="BH38" s="569"/>
      <c r="BI38" s="569"/>
      <c r="BJ38" s="569"/>
      <c r="BK38" s="569"/>
      <c r="BL38" s="569"/>
      <c r="BM38" s="569"/>
      <c r="BN38" s="569"/>
      <c r="BO38" s="569"/>
      <c r="BP38" s="569"/>
      <c r="BQ38" s="569"/>
      <c r="BR38" s="569"/>
      <c r="BS38" s="569"/>
      <c r="BT38" s="569"/>
      <c r="BU38" s="569"/>
      <c r="BV38" s="569"/>
      <c r="BW38" s="569"/>
      <c r="BX38" s="569"/>
      <c r="BY38" s="569"/>
      <c r="BZ38" s="569"/>
    </row>
    <row r="39" spans="1:78" s="560" customFormat="1">
      <c r="B39" s="297" t="s">
        <v>93</v>
      </c>
      <c r="C39" s="1227"/>
      <c r="D39" s="84"/>
      <c r="E39" s="84"/>
      <c r="F39" s="1173"/>
      <c r="G39" s="1173"/>
      <c r="H39" s="90"/>
      <c r="I39" s="90"/>
      <c r="J39" s="90"/>
      <c r="K39" s="90"/>
      <c r="L39" s="197"/>
      <c r="M39" s="90">
        <f>'ARP Quarterly'!C23</f>
        <v>0</v>
      </c>
      <c r="N39" s="90">
        <f>'ARP Quarterly'!D23</f>
        <v>2.9519999999999995</v>
      </c>
      <c r="O39" s="194">
        <f>'ARP Quarterly'!E23</f>
        <v>13.448</v>
      </c>
      <c r="P39" s="568">
        <f>'ARP Quarterly'!F23</f>
        <v>11.3</v>
      </c>
      <c r="Q39" s="568">
        <f>'ARP Quarterly'!G23</f>
        <v>11.3</v>
      </c>
      <c r="R39" s="568">
        <f>'ARP Quarterly'!H23</f>
        <v>11.3</v>
      </c>
      <c r="S39" s="568">
        <f>'ARP Quarterly'!I23</f>
        <v>11.3</v>
      </c>
      <c r="T39" s="568">
        <f>'ARP Quarterly'!J23</f>
        <v>8.4</v>
      </c>
      <c r="U39" s="568">
        <f>'ARP Quarterly'!K23</f>
        <v>8.4</v>
      </c>
      <c r="V39" s="568">
        <f>'ARP Quarterly'!L23</f>
        <v>8.4</v>
      </c>
      <c r="W39" s="568">
        <f>'ARP Quarterly'!M23</f>
        <v>8.4</v>
      </c>
      <c r="X39" s="568">
        <f>'ARP Quarterly'!N23</f>
        <v>0.2</v>
      </c>
      <c r="Y39" s="568">
        <f>'ARP Quarterly'!O23</f>
        <v>0.2</v>
      </c>
      <c r="Z39" s="568">
        <f>'ARP Quarterly'!P23</f>
        <v>0.2</v>
      </c>
      <c r="AA39" s="568">
        <f>'ARP Quarterly'!Q23</f>
        <v>0.2</v>
      </c>
      <c r="AB39" s="568">
        <f>'ARP Quarterly'!R23</f>
        <v>0</v>
      </c>
      <c r="AC39" s="1180">
        <f>'ARP Quarterly'!S23</f>
        <v>0</v>
      </c>
      <c r="AD39" s="569"/>
      <c r="AE39" s="569"/>
      <c r="AF39" s="569"/>
      <c r="AG39" s="569"/>
      <c r="AH39" s="569"/>
      <c r="AI39" s="569"/>
      <c r="AJ39" s="569"/>
      <c r="AK39" s="569"/>
      <c r="AL39" s="569"/>
      <c r="AM39" s="569"/>
      <c r="AN39" s="569"/>
      <c r="AO39" s="569"/>
      <c r="AP39" s="569"/>
      <c r="AQ39" s="569"/>
      <c r="AR39" s="569"/>
      <c r="AS39" s="569"/>
      <c r="AT39" s="569"/>
      <c r="AU39" s="569"/>
      <c r="AV39" s="569"/>
      <c r="AW39" s="569"/>
      <c r="AX39" s="569"/>
      <c r="AY39" s="569"/>
      <c r="AZ39" s="569"/>
      <c r="BA39" s="569"/>
      <c r="BB39" s="569"/>
      <c r="BC39" s="569"/>
      <c r="BD39" s="569"/>
      <c r="BE39" s="569"/>
      <c r="BF39" s="569"/>
      <c r="BG39" s="569"/>
      <c r="BH39" s="569"/>
      <c r="BI39" s="569"/>
      <c r="BJ39" s="569"/>
      <c r="BK39" s="569"/>
      <c r="BL39" s="569"/>
      <c r="BM39" s="569"/>
      <c r="BN39" s="569"/>
      <c r="BO39" s="569"/>
      <c r="BP39" s="569"/>
      <c r="BQ39" s="569"/>
      <c r="BR39" s="569"/>
      <c r="BS39" s="569"/>
      <c r="BT39" s="569"/>
      <c r="BU39" s="569"/>
      <c r="BV39" s="569"/>
      <c r="BW39" s="569"/>
      <c r="BX39" s="569"/>
      <c r="BY39" s="569"/>
      <c r="BZ39" s="569"/>
    </row>
    <row r="40" spans="1:78" s="560" customFormat="1">
      <c r="B40" s="297" t="s">
        <v>1197</v>
      </c>
      <c r="C40" s="1227"/>
      <c r="D40" s="84"/>
      <c r="E40" s="84"/>
      <c r="F40" s="1173"/>
      <c r="G40" s="1173"/>
      <c r="H40" s="90"/>
      <c r="I40" s="90"/>
      <c r="J40" s="90"/>
      <c r="K40" s="90"/>
      <c r="L40" s="197"/>
      <c r="M40" s="90">
        <f>'ARP Quarterly'!C24</f>
        <v>0</v>
      </c>
      <c r="N40" s="90">
        <f>'ARP Quarterly'!D24</f>
        <v>-0.20447999999999997</v>
      </c>
      <c r="O40" s="194">
        <f>'ARP Quarterly'!E24</f>
        <v>-0.93152000000000001</v>
      </c>
      <c r="P40" s="568">
        <f>'ARP Quarterly'!F24</f>
        <v>81.608999999999995</v>
      </c>
      <c r="Q40" s="568">
        <f>'ARP Quarterly'!G24</f>
        <v>81.608999999999995</v>
      </c>
      <c r="R40" s="568">
        <f>'ARP Quarterly'!H24</f>
        <v>81.608999999999995</v>
      </c>
      <c r="S40" s="568">
        <f>'ARP Quarterly'!I24</f>
        <v>81.608999999999995</v>
      </c>
      <c r="T40" s="568">
        <f>'ARP Quarterly'!J24</f>
        <v>1.3759999999999999</v>
      </c>
      <c r="U40" s="568">
        <f>'ARP Quarterly'!K24</f>
        <v>1.3759999999999999</v>
      </c>
      <c r="V40" s="568">
        <f>'ARP Quarterly'!L24</f>
        <v>1.3759999999999999</v>
      </c>
      <c r="W40" s="568">
        <f>'ARP Quarterly'!M24</f>
        <v>1.3759999999999999</v>
      </c>
      <c r="X40" s="568">
        <f>'ARP Quarterly'!N24</f>
        <v>-0.87500000000000011</v>
      </c>
      <c r="Y40" s="568">
        <f>'ARP Quarterly'!O24</f>
        <v>-0.87500000000000011</v>
      </c>
      <c r="Z40" s="568">
        <f>'ARP Quarterly'!P24</f>
        <v>-0.87500000000000011</v>
      </c>
      <c r="AA40" s="568">
        <f>'ARP Quarterly'!Q24</f>
        <v>-0.87500000000000011</v>
      </c>
      <c r="AB40" s="568">
        <f>'ARP Quarterly'!R24</f>
        <v>0</v>
      </c>
      <c r="AC40" s="1180">
        <f>'ARP Quarterly'!S24</f>
        <v>0</v>
      </c>
      <c r="AD40" s="569"/>
      <c r="AE40" s="569"/>
      <c r="AF40" s="569"/>
      <c r="AG40" s="569"/>
      <c r="AH40" s="569"/>
      <c r="AI40" s="569"/>
      <c r="AJ40" s="569"/>
      <c r="AK40" s="569"/>
      <c r="AL40" s="569"/>
      <c r="AM40" s="569"/>
      <c r="AN40" s="569"/>
      <c r="AO40" s="569"/>
      <c r="AP40" s="569"/>
      <c r="AQ40" s="569"/>
      <c r="AR40" s="569"/>
      <c r="AS40" s="569"/>
      <c r="AT40" s="569"/>
      <c r="AU40" s="569"/>
      <c r="AV40" s="569"/>
      <c r="AW40" s="569"/>
      <c r="AX40" s="569"/>
      <c r="AY40" s="569"/>
      <c r="AZ40" s="569"/>
      <c r="BA40" s="569"/>
      <c r="BB40" s="569"/>
      <c r="BC40" s="569"/>
      <c r="BD40" s="569"/>
      <c r="BE40" s="569"/>
      <c r="BF40" s="569"/>
      <c r="BG40" s="569"/>
      <c r="BH40" s="569"/>
      <c r="BI40" s="569"/>
      <c r="BJ40" s="569"/>
      <c r="BK40" s="569"/>
      <c r="BL40" s="569"/>
      <c r="BM40" s="569"/>
      <c r="BN40" s="569"/>
      <c r="BO40" s="569"/>
      <c r="BP40" s="569"/>
      <c r="BQ40" s="569"/>
      <c r="BR40" s="569"/>
      <c r="BS40" s="569"/>
      <c r="BT40" s="569"/>
      <c r="BU40" s="569"/>
      <c r="BV40" s="569"/>
      <c r="BW40" s="569"/>
      <c r="BX40" s="569"/>
      <c r="BY40" s="569"/>
      <c r="BZ40" s="569"/>
    </row>
    <row r="41" spans="1:78" s="560" customFormat="1">
      <c r="B41" s="297" t="s">
        <v>5</v>
      </c>
      <c r="C41" s="1227"/>
      <c r="D41" s="84"/>
      <c r="E41" s="84"/>
      <c r="F41" s="1173"/>
      <c r="G41" s="1173"/>
      <c r="H41" s="90"/>
      <c r="I41" s="90"/>
      <c r="J41" s="90"/>
      <c r="K41" s="90"/>
      <c r="L41" s="197"/>
      <c r="M41" s="90">
        <f>'ARP Quarterly'!C25</f>
        <v>0</v>
      </c>
      <c r="N41" s="90">
        <f>'ARP Quarterly'!D25</f>
        <v>58.782959999999996</v>
      </c>
      <c r="O41" s="194">
        <f>'ARP Quarterly'!E25</f>
        <v>267.78904000000006</v>
      </c>
      <c r="P41" s="568">
        <f>'ARP Quarterly'!F25</f>
        <v>110.24799999999999</v>
      </c>
      <c r="Q41" s="568">
        <f>'ARP Quarterly'!G25</f>
        <v>110.24799999999999</v>
      </c>
      <c r="R41" s="568">
        <f>'ARP Quarterly'!H25</f>
        <v>110.24799999999999</v>
      </c>
      <c r="S41" s="568">
        <f>'ARP Quarterly'!I25</f>
        <v>110.24799999999999</v>
      </c>
      <c r="T41" s="568">
        <f>'ARP Quarterly'!J25</f>
        <v>12.362</v>
      </c>
      <c r="U41" s="568">
        <f>'ARP Quarterly'!K25</f>
        <v>12.362</v>
      </c>
      <c r="V41" s="568">
        <f>'ARP Quarterly'!L25</f>
        <v>12.362</v>
      </c>
      <c r="W41" s="568">
        <f>'ARP Quarterly'!M25</f>
        <v>12.362</v>
      </c>
      <c r="X41" s="568">
        <f>'ARP Quarterly'!N25</f>
        <v>-0.67500000000000004</v>
      </c>
      <c r="Y41" s="568">
        <f>'ARP Quarterly'!O25</f>
        <v>-0.67500000000000004</v>
      </c>
      <c r="Z41" s="568">
        <f>'ARP Quarterly'!P25</f>
        <v>-0.67500000000000004</v>
      </c>
      <c r="AA41" s="568">
        <f>'ARP Quarterly'!Q25</f>
        <v>-0.67500000000000004</v>
      </c>
      <c r="AB41" s="568">
        <f>'ARP Quarterly'!R25</f>
        <v>0</v>
      </c>
      <c r="AC41" s="1180">
        <f>'ARP Quarterly'!S25</f>
        <v>0</v>
      </c>
      <c r="AD41" s="569"/>
      <c r="AE41" s="569"/>
      <c r="AF41" s="569"/>
      <c r="AG41" s="569"/>
      <c r="AH41" s="569"/>
      <c r="AI41" s="569"/>
      <c r="AJ41" s="569"/>
      <c r="AK41" s="569"/>
      <c r="AL41" s="569"/>
      <c r="AM41" s="569"/>
      <c r="AN41" s="569"/>
      <c r="AO41" s="569"/>
      <c r="AP41" s="569"/>
      <c r="AQ41" s="569"/>
      <c r="AR41" s="569"/>
      <c r="AS41" s="569"/>
      <c r="AT41" s="569"/>
      <c r="AU41" s="569"/>
      <c r="AV41" s="569"/>
      <c r="AW41" s="569"/>
      <c r="AX41" s="569"/>
      <c r="AY41" s="569"/>
      <c r="AZ41" s="569"/>
      <c r="BA41" s="569"/>
      <c r="BB41" s="569"/>
      <c r="BC41" s="569"/>
      <c r="BD41" s="569"/>
      <c r="BE41" s="569"/>
      <c r="BF41" s="569"/>
      <c r="BG41" s="569"/>
      <c r="BH41" s="569"/>
      <c r="BI41" s="569"/>
      <c r="BJ41" s="569"/>
      <c r="BK41" s="569"/>
      <c r="BL41" s="569"/>
      <c r="BM41" s="569"/>
      <c r="BN41" s="569"/>
      <c r="BO41" s="569"/>
      <c r="BP41" s="569"/>
      <c r="BQ41" s="569"/>
      <c r="BR41" s="569"/>
      <c r="BS41" s="569"/>
      <c r="BT41" s="569"/>
      <c r="BU41" s="569"/>
      <c r="BV41" s="569"/>
      <c r="BW41" s="569"/>
      <c r="BX41" s="569"/>
      <c r="BY41" s="569"/>
      <c r="BZ41" s="569"/>
    </row>
    <row r="42" spans="1:78" s="383" customFormat="1">
      <c r="B42" s="1440" t="s">
        <v>635</v>
      </c>
      <c r="C42" s="1441"/>
      <c r="D42" s="1174"/>
      <c r="E42" s="1175"/>
      <c r="F42" s="424"/>
      <c r="G42" s="424"/>
      <c r="H42" s="425"/>
      <c r="I42" s="425"/>
      <c r="J42" s="425"/>
      <c r="K42" s="425"/>
      <c r="L42" s="428"/>
      <c r="M42" s="425"/>
      <c r="N42" s="1087"/>
      <c r="O42" s="427"/>
      <c r="P42" s="1051"/>
      <c r="Q42" s="1051"/>
      <c r="R42" s="1051"/>
      <c r="S42" s="1051"/>
      <c r="T42" s="1051"/>
      <c r="U42" s="1051"/>
      <c r="V42" s="1059"/>
      <c r="W42" s="1059"/>
      <c r="X42" s="1059"/>
      <c r="Y42" s="1059"/>
      <c r="Z42" s="1059"/>
      <c r="AA42" s="1059"/>
      <c r="AB42" s="1059"/>
      <c r="AC42" s="518"/>
      <c r="AD42" s="202"/>
      <c r="AE42" s="202"/>
      <c r="AF42" s="202"/>
      <c r="AG42" s="202"/>
      <c r="AH42" s="202"/>
      <c r="AI42" s="202"/>
      <c r="AJ42" s="202"/>
      <c r="AK42" s="202"/>
      <c r="AL42" s="202"/>
      <c r="AM42" s="202"/>
      <c r="AN42" s="202"/>
      <c r="AO42" s="202"/>
      <c r="AP42" s="202"/>
      <c r="AQ42" s="202"/>
      <c r="AR42" s="202"/>
      <c r="AS42" s="202"/>
      <c r="AT42" s="202"/>
      <c r="AU42" s="202"/>
      <c r="AV42" s="202"/>
      <c r="AW42" s="202"/>
      <c r="AX42" s="202"/>
      <c r="AY42" s="202"/>
      <c r="AZ42" s="202"/>
      <c r="BA42" s="202"/>
      <c r="BB42" s="202"/>
      <c r="BC42" s="202"/>
      <c r="BD42" s="202"/>
      <c r="BE42" s="202"/>
      <c r="BF42" s="202"/>
      <c r="BG42" s="202"/>
      <c r="BH42" s="202"/>
      <c r="BI42" s="202"/>
      <c r="BJ42" s="202"/>
      <c r="BK42" s="202"/>
      <c r="BL42" s="202"/>
      <c r="BM42" s="202"/>
      <c r="BN42" s="202"/>
      <c r="BO42" s="202"/>
      <c r="BP42" s="202"/>
      <c r="BQ42" s="202"/>
      <c r="BR42" s="202"/>
      <c r="BS42" s="202"/>
      <c r="BT42" s="202"/>
      <c r="BU42" s="202"/>
      <c r="BV42" s="202"/>
      <c r="BW42" s="202"/>
      <c r="BX42" s="202"/>
      <c r="BY42" s="202"/>
      <c r="BZ42" s="202"/>
    </row>
    <row r="43" spans="1:78" s="429" customFormat="1" ht="21" customHeight="1">
      <c r="B43" s="433" t="s">
        <v>569</v>
      </c>
      <c r="C43" s="655"/>
      <c r="D43" s="433"/>
      <c r="E43" s="655"/>
      <c r="F43" s="244"/>
      <c r="G43" s="244"/>
      <c r="H43" s="434"/>
      <c r="I43" s="434"/>
      <c r="J43" s="434"/>
      <c r="K43" s="1230"/>
      <c r="L43" s="1231"/>
      <c r="M43" s="1230">
        <f>'ARP Quarterly'!C6</f>
        <v>0</v>
      </c>
      <c r="N43" s="1230">
        <f>'ARP Quarterly'!D6</f>
        <v>58.782959999999989</v>
      </c>
      <c r="O43" s="941">
        <f>'ARP Quarterly'!E6</f>
        <v>267.78904</v>
      </c>
      <c r="P43" s="942">
        <f>'ARP Quarterly'!F6</f>
        <v>110.24799999999999</v>
      </c>
      <c r="Q43" s="942">
        <f>'ARP Quarterly'!G6</f>
        <v>110.24799999999999</v>
      </c>
      <c r="R43" s="942">
        <f>'ARP Quarterly'!H6</f>
        <v>110.24799999999999</v>
      </c>
      <c r="S43" s="942">
        <f>'ARP Quarterly'!I6</f>
        <v>110.24799999999999</v>
      </c>
      <c r="T43" s="942">
        <f>'ARP Quarterly'!J6</f>
        <v>12.726000000000001</v>
      </c>
      <c r="U43" s="942">
        <f>'ARP Quarterly'!K6</f>
        <v>12.726000000000001</v>
      </c>
      <c r="V43" s="942">
        <f>'ARP Quarterly'!L6</f>
        <v>12.726000000000001</v>
      </c>
      <c r="W43" s="942">
        <f>'ARP Quarterly'!M6</f>
        <v>12.726000000000001</v>
      </c>
      <c r="X43" s="942">
        <f>'ARP Quarterly'!N6</f>
        <v>1.365</v>
      </c>
      <c r="Y43" s="942">
        <f>'ARP Quarterly'!O6</f>
        <v>1.365</v>
      </c>
      <c r="Z43" s="942">
        <f>'ARP Quarterly'!P6</f>
        <v>1.365</v>
      </c>
      <c r="AA43" s="942">
        <f>'ARP Quarterly'!Q6</f>
        <v>1.365</v>
      </c>
      <c r="AB43" s="942">
        <f>'ARP Quarterly'!R6</f>
        <v>-0.90100000000000025</v>
      </c>
      <c r="AC43" s="1233">
        <f>'ARP Quarterly'!S6</f>
        <v>-0.90100000000000025</v>
      </c>
      <c r="AD43" s="430"/>
      <c r="AE43" s="430"/>
      <c r="AF43" s="430"/>
      <c r="AG43" s="430"/>
      <c r="AH43" s="430"/>
      <c r="AI43" s="430"/>
      <c r="AJ43" s="430"/>
      <c r="AK43" s="430"/>
      <c r="AL43" s="430"/>
      <c r="AM43" s="430"/>
      <c r="AN43" s="430"/>
      <c r="AO43" s="430"/>
      <c r="AP43" s="430"/>
      <c r="AQ43" s="430"/>
      <c r="AR43" s="430"/>
      <c r="AS43" s="430"/>
      <c r="AT43" s="430"/>
      <c r="AU43" s="430"/>
      <c r="AV43" s="430"/>
      <c r="AW43" s="430"/>
      <c r="AX43" s="430"/>
      <c r="AY43" s="430"/>
      <c r="AZ43" s="430"/>
      <c r="BA43" s="430"/>
      <c r="BB43" s="430"/>
      <c r="BC43" s="430"/>
      <c r="BD43" s="430"/>
      <c r="BE43" s="430"/>
      <c r="BF43" s="430"/>
      <c r="BG43" s="430"/>
      <c r="BH43" s="430"/>
      <c r="BI43" s="430"/>
      <c r="BJ43" s="430"/>
      <c r="BK43" s="430"/>
      <c r="BL43" s="430"/>
      <c r="BM43" s="430"/>
      <c r="BN43" s="430"/>
      <c r="BO43" s="430"/>
      <c r="BP43" s="430"/>
      <c r="BQ43" s="430"/>
      <c r="BR43" s="430"/>
      <c r="BS43" s="430"/>
      <c r="BT43" s="430"/>
      <c r="BU43" s="430"/>
      <c r="BV43" s="430"/>
      <c r="BW43" s="430"/>
      <c r="BX43" s="430"/>
      <c r="BY43" s="430"/>
      <c r="BZ43" s="430"/>
    </row>
    <row r="44" spans="1:78" s="436" customFormat="1" ht="19.5" customHeight="1">
      <c r="A44" s="430"/>
      <c r="B44" s="190" t="s">
        <v>570</v>
      </c>
      <c r="C44" s="191"/>
      <c r="D44" s="190"/>
      <c r="E44" s="191"/>
      <c r="F44" s="435">
        <f t="shared" ref="F44:AC44" si="13">F11-F43</f>
        <v>60.5</v>
      </c>
      <c r="G44" s="435">
        <f t="shared" si="13"/>
        <v>81.400000000000006</v>
      </c>
      <c r="H44" s="435">
        <f t="shared" si="13"/>
        <v>82.2</v>
      </c>
      <c r="I44" s="435">
        <f t="shared" si="13"/>
        <v>80.3</v>
      </c>
      <c r="J44" s="435">
        <f t="shared" si="13"/>
        <v>1123.5999999999999</v>
      </c>
      <c r="K44" s="435">
        <f t="shared" si="13"/>
        <v>1220.5</v>
      </c>
      <c r="L44" s="435">
        <f t="shared" si="13"/>
        <v>618.6</v>
      </c>
      <c r="M44" s="435">
        <f t="shared" si="13"/>
        <v>403.8</v>
      </c>
      <c r="N44" s="1088">
        <f t="shared" si="13"/>
        <v>624.81704000000002</v>
      </c>
      <c r="O44" s="943">
        <f t="shared" si="13"/>
        <v>684.23865117608079</v>
      </c>
      <c r="P44" s="1232">
        <f t="shared" si="13"/>
        <v>116.33678854309761</v>
      </c>
      <c r="Q44" s="1232">
        <f t="shared" si="13"/>
        <v>83.047368421052624</v>
      </c>
      <c r="R44" s="1232">
        <f t="shared" si="13"/>
        <v>77.633834586466179</v>
      </c>
      <c r="S44" s="1232">
        <f t="shared" si="13"/>
        <v>77.633834586466179</v>
      </c>
      <c r="T44" s="1232">
        <f t="shared" si="13"/>
        <v>75.736000000000004</v>
      </c>
      <c r="U44" s="1232">
        <f t="shared" si="13"/>
        <v>75.736000000000004</v>
      </c>
      <c r="V44" s="1232">
        <f t="shared" si="13"/>
        <v>75.736000000000004</v>
      </c>
      <c r="W44" s="1232">
        <f t="shared" si="13"/>
        <v>75.736000000000004</v>
      </c>
      <c r="X44" s="1232">
        <f t="shared" si="13"/>
        <v>74.060000000000016</v>
      </c>
      <c r="Y44" s="1232">
        <f t="shared" si="13"/>
        <v>74.060000000000016</v>
      </c>
      <c r="Z44" s="1232">
        <f t="shared" si="13"/>
        <v>74.060000000000016</v>
      </c>
      <c r="AA44" s="1232">
        <f t="shared" si="13"/>
        <v>74.060000000000016</v>
      </c>
      <c r="AB44" s="1232">
        <f t="shared" si="13"/>
        <v>77.001000000000005</v>
      </c>
      <c r="AC44" s="1234">
        <f t="shared" si="13"/>
        <v>77.001000000000005</v>
      </c>
      <c r="AD44" s="430"/>
      <c r="AE44" s="430"/>
      <c r="AF44" s="430"/>
      <c r="AG44" s="430"/>
      <c r="AH44" s="430"/>
      <c r="AI44" s="430"/>
      <c r="AJ44" s="430"/>
      <c r="AK44" s="430"/>
      <c r="AL44" s="430"/>
      <c r="AM44" s="430"/>
      <c r="AN44" s="430"/>
      <c r="AO44" s="430"/>
      <c r="AP44" s="430"/>
      <c r="AQ44" s="430"/>
      <c r="AR44" s="430"/>
      <c r="AS44" s="430"/>
      <c r="AT44" s="430"/>
      <c r="AU44" s="430"/>
      <c r="AV44" s="430"/>
      <c r="AW44" s="430"/>
      <c r="AX44" s="430"/>
      <c r="AY44" s="430"/>
      <c r="AZ44" s="430"/>
      <c r="BA44" s="430"/>
      <c r="BB44" s="430"/>
      <c r="BC44" s="430"/>
      <c r="BD44" s="430"/>
      <c r="BE44" s="430"/>
      <c r="BF44" s="430"/>
      <c r="BG44" s="430"/>
      <c r="BH44" s="430"/>
      <c r="BI44" s="430"/>
      <c r="BJ44" s="430"/>
      <c r="BK44" s="430"/>
      <c r="BL44" s="430"/>
      <c r="BM44" s="430"/>
      <c r="BN44" s="430"/>
      <c r="BO44" s="430"/>
      <c r="BP44" s="430"/>
      <c r="BQ44" s="430"/>
      <c r="BR44" s="430"/>
      <c r="BS44" s="430"/>
      <c r="BT44" s="430"/>
      <c r="BU44" s="430"/>
      <c r="BV44" s="430"/>
      <c r="BW44" s="430"/>
      <c r="BX44" s="430"/>
      <c r="BY44" s="430"/>
      <c r="BZ44" s="430"/>
    </row>
    <row r="45" spans="1:78">
      <c r="A45" s="202"/>
      <c r="B45" s="119"/>
      <c r="C45" s="120"/>
      <c r="D45" s="120"/>
      <c r="E45" s="302"/>
      <c r="F45" s="302"/>
      <c r="G45" s="302"/>
      <c r="H45" s="302"/>
      <c r="I45" s="302"/>
      <c r="J45" s="302"/>
      <c r="K45" s="302"/>
      <c r="L45" s="302"/>
      <c r="M45" s="302"/>
      <c r="N45" s="302"/>
      <c r="O45" s="302"/>
      <c r="P45" s="302"/>
      <c r="Q45" s="302"/>
      <c r="R45" s="302"/>
      <c r="S45" s="302"/>
      <c r="T45" s="302"/>
      <c r="U45" s="302"/>
      <c r="V45" s="302"/>
      <c r="W45" s="302"/>
      <c r="X45" s="302"/>
      <c r="Y45" s="302"/>
    </row>
    <row r="46" spans="1:78">
      <c r="B46" s="299"/>
      <c r="C46" s="299"/>
      <c r="D46" s="299"/>
    </row>
    <row r="47" spans="1:78">
      <c r="B47" s="1229"/>
      <c r="C47" s="299"/>
      <c r="D47" s="299"/>
      <c r="M47" s="202"/>
      <c r="N47" s="202"/>
      <c r="O47" s="202"/>
      <c r="P47" s="202"/>
      <c r="Q47" s="202"/>
      <c r="R47" s="202"/>
      <c r="S47" s="202"/>
      <c r="T47" s="202"/>
      <c r="U47" s="202"/>
      <c r="V47" s="202"/>
      <c r="W47" s="202"/>
      <c r="X47" s="202"/>
      <c r="Y47" s="202"/>
      <c r="BJ47" s="107"/>
      <c r="BK47" s="107"/>
      <c r="BL47" s="107"/>
      <c r="BM47" s="107"/>
      <c r="BN47" s="107"/>
      <c r="BO47" s="107"/>
      <c r="BP47" s="107"/>
      <c r="BQ47" s="107"/>
      <c r="BR47" s="107"/>
      <c r="BS47" s="107"/>
      <c r="BT47" s="107"/>
      <c r="BU47" s="107"/>
      <c r="BV47" s="107"/>
      <c r="BW47" s="107"/>
      <c r="BX47" s="107"/>
      <c r="BY47" s="107"/>
      <c r="BZ47" s="107"/>
    </row>
    <row r="48" spans="1:78">
      <c r="B48" s="1229"/>
      <c r="C48" s="299"/>
      <c r="D48" s="299"/>
      <c r="M48" s="202"/>
      <c r="N48" s="202"/>
      <c r="O48" s="202"/>
      <c r="P48" s="202"/>
      <c r="Q48" s="202"/>
      <c r="R48" s="202"/>
      <c r="S48" s="202"/>
      <c r="T48" s="202"/>
      <c r="U48" s="202"/>
      <c r="V48" s="202"/>
      <c r="W48" s="202"/>
      <c r="X48" s="202"/>
      <c r="Y48" s="202"/>
      <c r="BJ48" s="107"/>
      <c r="BK48" s="107"/>
      <c r="BL48" s="107"/>
      <c r="BM48" s="107"/>
      <c r="BN48" s="107"/>
      <c r="BO48" s="107"/>
      <c r="BP48" s="107"/>
      <c r="BQ48" s="107"/>
      <c r="BR48" s="107"/>
      <c r="BS48" s="107"/>
      <c r="BT48" s="107"/>
      <c r="BU48" s="107"/>
      <c r="BV48" s="107"/>
      <c r="BW48" s="107"/>
      <c r="BX48" s="107"/>
      <c r="BY48" s="107"/>
      <c r="BZ48" s="107"/>
    </row>
    <row r="49" spans="2:78">
      <c r="B49" s="1229"/>
      <c r="C49" s="299"/>
      <c r="D49" s="299"/>
      <c r="M49" s="202"/>
      <c r="N49" s="202"/>
      <c r="O49" s="202"/>
      <c r="P49" s="202"/>
      <c r="Q49" s="202"/>
      <c r="R49" s="202"/>
      <c r="S49" s="202"/>
      <c r="T49" s="202"/>
      <c r="U49" s="202"/>
      <c r="V49" s="202"/>
      <c r="W49" s="202"/>
      <c r="X49" s="202"/>
      <c r="Y49" s="202"/>
      <c r="BJ49" s="107"/>
      <c r="BK49" s="107"/>
      <c r="BL49" s="107"/>
      <c r="BM49" s="107"/>
      <c r="BN49" s="107"/>
      <c r="BO49" s="107"/>
      <c r="BP49" s="107"/>
      <c r="BQ49" s="107"/>
      <c r="BR49" s="107"/>
      <c r="BS49" s="107"/>
      <c r="BT49" s="107"/>
      <c r="BU49" s="107"/>
      <c r="BV49" s="107"/>
      <c r="BW49" s="107"/>
      <c r="BX49" s="107"/>
      <c r="BY49" s="107"/>
      <c r="BZ49" s="107"/>
    </row>
    <row r="50" spans="2:78">
      <c r="B50" s="1229"/>
      <c r="C50" s="299"/>
      <c r="D50" s="299"/>
      <c r="M50" s="202"/>
      <c r="N50" s="202"/>
      <c r="O50" s="202"/>
      <c r="P50" s="202"/>
      <c r="Q50" s="202"/>
      <c r="R50" s="202"/>
      <c r="S50" s="202"/>
      <c r="T50" s="202"/>
      <c r="U50" s="202"/>
      <c r="V50" s="202"/>
      <c r="W50" s="202"/>
      <c r="X50" s="202"/>
      <c r="Y50" s="202"/>
      <c r="BJ50" s="107"/>
      <c r="BK50" s="107"/>
      <c r="BL50" s="107"/>
      <c r="BM50" s="107"/>
      <c r="BN50" s="107"/>
      <c r="BO50" s="107"/>
      <c r="BP50" s="107"/>
      <c r="BQ50" s="107"/>
      <c r="BR50" s="107"/>
      <c r="BS50" s="107"/>
      <c r="BT50" s="107"/>
      <c r="BU50" s="107"/>
      <c r="BV50" s="107"/>
      <c r="BW50" s="107"/>
      <c r="BX50" s="107"/>
      <c r="BY50" s="107"/>
      <c r="BZ50" s="107"/>
    </row>
    <row r="51" spans="2:78">
      <c r="B51" s="1229"/>
      <c r="C51" s="299"/>
      <c r="D51" s="299"/>
      <c r="M51" s="202"/>
      <c r="N51" s="202"/>
      <c r="O51" s="202"/>
      <c r="P51" s="202"/>
      <c r="Q51" s="202"/>
      <c r="R51" s="202"/>
      <c r="S51" s="202"/>
      <c r="T51" s="202"/>
      <c r="U51" s="202"/>
      <c r="V51" s="202"/>
      <c r="W51" s="202"/>
      <c r="X51" s="202"/>
      <c r="Y51" s="202"/>
      <c r="BJ51" s="107"/>
      <c r="BK51" s="107"/>
      <c r="BL51" s="107"/>
      <c r="BM51" s="107"/>
      <c r="BN51" s="107"/>
      <c r="BO51" s="107"/>
      <c r="BP51" s="107"/>
      <c r="BQ51" s="107"/>
      <c r="BR51" s="107"/>
      <c r="BS51" s="107"/>
      <c r="BT51" s="107"/>
      <c r="BU51" s="107"/>
      <c r="BV51" s="107"/>
      <c r="BW51" s="107"/>
      <c r="BX51" s="107"/>
      <c r="BY51" s="107"/>
      <c r="BZ51" s="107"/>
    </row>
    <row r="52" spans="2:78">
      <c r="B52" s="1229"/>
      <c r="C52" s="299"/>
      <c r="D52" s="299"/>
      <c r="M52" s="202"/>
      <c r="N52" s="202"/>
      <c r="O52" s="202"/>
      <c r="P52" s="202"/>
      <c r="Q52" s="202"/>
      <c r="R52" s="202"/>
      <c r="S52" s="202"/>
      <c r="T52" s="202"/>
      <c r="U52" s="202"/>
      <c r="V52" s="202"/>
      <c r="W52" s="202"/>
      <c r="X52" s="202"/>
      <c r="Y52" s="202"/>
      <c r="BJ52" s="107"/>
      <c r="BK52" s="107"/>
      <c r="BL52" s="107"/>
      <c r="BM52" s="107"/>
      <c r="BN52" s="107"/>
      <c r="BO52" s="107"/>
      <c r="BP52" s="107"/>
      <c r="BQ52" s="107"/>
      <c r="BR52" s="107"/>
      <c r="BS52" s="107"/>
      <c r="BT52" s="107"/>
      <c r="BU52" s="107"/>
      <c r="BV52" s="107"/>
      <c r="BW52" s="107"/>
      <c r="BX52" s="107"/>
      <c r="BY52" s="107"/>
      <c r="BZ52" s="107"/>
    </row>
    <row r="53" spans="2:78">
      <c r="B53" s="1229"/>
      <c r="C53" s="299"/>
      <c r="D53" s="299"/>
      <c r="M53" s="202"/>
      <c r="N53" s="202"/>
      <c r="O53" s="202"/>
      <c r="P53" s="202"/>
      <c r="Q53" s="202"/>
      <c r="R53" s="202"/>
      <c r="S53" s="202"/>
      <c r="T53" s="202"/>
      <c r="U53" s="202"/>
      <c r="V53" s="202"/>
      <c r="W53" s="202"/>
      <c r="X53" s="202"/>
      <c r="Y53" s="202"/>
      <c r="BJ53" s="107"/>
      <c r="BK53" s="107"/>
      <c r="BL53" s="107"/>
      <c r="BM53" s="107"/>
      <c r="BN53" s="107"/>
      <c r="BO53" s="107"/>
      <c r="BP53" s="107"/>
      <c r="BQ53" s="107"/>
      <c r="BR53" s="107"/>
      <c r="BS53" s="107"/>
      <c r="BT53" s="107"/>
      <c r="BU53" s="107"/>
      <c r="BV53" s="107"/>
      <c r="BW53" s="107"/>
      <c r="BX53" s="107"/>
      <c r="BY53" s="107"/>
      <c r="BZ53" s="107"/>
    </row>
    <row r="54" spans="2:78">
      <c r="B54" s="1229"/>
      <c r="C54" s="299"/>
      <c r="D54" s="299"/>
      <c r="M54" s="202"/>
      <c r="N54" s="202"/>
      <c r="O54" s="202"/>
      <c r="P54" s="202"/>
      <c r="Q54" s="202"/>
      <c r="R54" s="202"/>
      <c r="S54" s="202"/>
      <c r="T54" s="202"/>
      <c r="U54" s="202"/>
      <c r="V54" s="202"/>
      <c r="W54" s="202"/>
      <c r="X54" s="202"/>
      <c r="Y54" s="202"/>
      <c r="BJ54" s="107"/>
      <c r="BK54" s="107"/>
      <c r="BL54" s="107"/>
      <c r="BM54" s="107"/>
      <c r="BN54" s="107"/>
      <c r="BO54" s="107"/>
      <c r="BP54" s="107"/>
      <c r="BQ54" s="107"/>
      <c r="BR54" s="107"/>
      <c r="BS54" s="107"/>
      <c r="BT54" s="107"/>
      <c r="BU54" s="107"/>
      <c r="BV54" s="107"/>
      <c r="BW54" s="107"/>
      <c r="BX54" s="107"/>
      <c r="BY54" s="107"/>
      <c r="BZ54" s="107"/>
    </row>
    <row r="55" spans="2:78">
      <c r="B55" s="299"/>
      <c r="C55" s="299"/>
      <c r="D55" s="299"/>
      <c r="M55" s="202"/>
      <c r="N55" s="202"/>
      <c r="O55" s="202"/>
      <c r="P55" s="202"/>
      <c r="Q55" s="202"/>
      <c r="R55" s="202"/>
      <c r="S55" s="202"/>
      <c r="T55" s="202"/>
      <c r="U55" s="202"/>
      <c r="V55" s="202"/>
      <c r="W55" s="202"/>
      <c r="X55" s="202"/>
      <c r="Y55" s="202"/>
      <c r="BJ55" s="107"/>
      <c r="BK55" s="107"/>
      <c r="BL55" s="107"/>
      <c r="BM55" s="107"/>
      <c r="BN55" s="107"/>
      <c r="BO55" s="107"/>
      <c r="BP55" s="107"/>
      <c r="BQ55" s="107"/>
      <c r="BR55" s="107"/>
      <c r="BS55" s="107"/>
      <c r="BT55" s="107"/>
      <c r="BU55" s="107"/>
      <c r="BV55" s="107"/>
      <c r="BW55" s="107"/>
      <c r="BX55" s="107"/>
      <c r="BY55" s="107"/>
      <c r="BZ55" s="107"/>
    </row>
    <row r="56" spans="2:78">
      <c r="B56" s="299"/>
      <c r="C56" s="299"/>
      <c r="D56" s="299"/>
    </row>
    <row r="57" spans="2:78">
      <c r="B57" s="299"/>
      <c r="C57" s="299"/>
      <c r="D57" s="299"/>
    </row>
    <row r="58" spans="2:78">
      <c r="B58" s="299"/>
      <c r="C58" s="299"/>
      <c r="D58" s="299"/>
    </row>
    <row r="59" spans="2:78">
      <c r="B59" s="299"/>
      <c r="C59" s="299"/>
      <c r="D59" s="299"/>
    </row>
    <row r="60" spans="2:78">
      <c r="B60" s="299"/>
      <c r="C60" s="299"/>
      <c r="D60" s="299"/>
    </row>
    <row r="61" spans="2:78">
      <c r="B61" s="299"/>
      <c r="C61" s="299"/>
      <c r="D61" s="299"/>
    </row>
    <row r="62" spans="2:78">
      <c r="B62" s="299"/>
      <c r="C62" s="299"/>
      <c r="D62" s="299"/>
    </row>
  </sheetData>
  <mergeCells count="16">
    <mergeCell ref="B42:C42"/>
    <mergeCell ref="U9:X9"/>
    <mergeCell ref="B26:C26"/>
    <mergeCell ref="B8:C10"/>
    <mergeCell ref="I9:L9"/>
    <mergeCell ref="Q9:T9"/>
    <mergeCell ref="B11:C11"/>
    <mergeCell ref="E9:H9"/>
    <mergeCell ref="D8:N8"/>
    <mergeCell ref="M9:N9"/>
    <mergeCell ref="B33:C33"/>
    <mergeCell ref="Y9:AB9"/>
    <mergeCell ref="O8:AC8"/>
    <mergeCell ref="B2:AC6"/>
    <mergeCell ref="B1:AC1"/>
    <mergeCell ref="O9:P9"/>
  </mergeCells>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63C19-A8DB-46E8-B79A-7ACF75AFD4AA}">
  <dimension ref="B1:AD32"/>
  <sheetViews>
    <sheetView topLeftCell="A9" zoomScale="60" zoomScaleNormal="70" workbookViewId="0">
      <selection activeCell="O11" sqref="O11"/>
    </sheetView>
  </sheetViews>
  <sheetFormatPr baseColWidth="10" defaultColWidth="8.6640625" defaultRowHeight="14"/>
  <cols>
    <col min="1" max="1" width="8.6640625" style="36"/>
    <col min="2" max="2" width="52.6640625" style="36" customWidth="1"/>
    <col min="3" max="3" width="11.5" style="36" customWidth="1"/>
    <col min="4" max="7" width="11.5" style="302" customWidth="1"/>
    <col min="8" max="8" width="12.1640625" style="36" bestFit="1" customWidth="1"/>
    <col min="9" max="9" width="8.6640625" style="36" bestFit="1" customWidth="1"/>
    <col min="10" max="10" width="10.33203125" style="36" bestFit="1" customWidth="1"/>
    <col min="11" max="11" width="8.6640625" style="36" bestFit="1" customWidth="1"/>
    <col min="12" max="12" width="11.33203125" style="36" bestFit="1" customWidth="1"/>
    <col min="13" max="20" width="9.6640625" style="36" customWidth="1"/>
    <col min="21" max="21" width="10.83203125" style="36" customWidth="1"/>
    <col min="22" max="25" width="10.83203125" style="240" customWidth="1"/>
    <col min="26" max="26" width="11.1640625" style="36" customWidth="1"/>
    <col min="27" max="32" width="9.6640625" style="36" customWidth="1"/>
    <col min="33" max="36" width="8.6640625" style="36" bestFit="1" customWidth="1"/>
    <col min="37" max="16384" width="8.6640625" style="36"/>
  </cols>
  <sheetData>
    <row r="1" spans="2:30" s="302" customFormat="1">
      <c r="B1" s="1372" t="s">
        <v>596</v>
      </c>
      <c r="C1" s="1372"/>
      <c r="D1" s="1372"/>
      <c r="E1" s="1372"/>
      <c r="F1" s="1372"/>
      <c r="G1" s="1372"/>
      <c r="H1" s="1372"/>
      <c r="I1" s="1372"/>
      <c r="J1" s="1372"/>
      <c r="K1" s="1372"/>
      <c r="L1" s="1372"/>
      <c r="M1" s="1372"/>
      <c r="N1" s="1372"/>
      <c r="O1" s="1372"/>
      <c r="P1" s="1372"/>
      <c r="Q1" s="1372"/>
      <c r="R1" s="1372"/>
      <c r="S1" s="1372"/>
      <c r="T1" s="1372"/>
      <c r="U1" s="1372"/>
      <c r="V1" s="1372"/>
      <c r="W1" s="1372"/>
      <c r="X1" s="1372"/>
      <c r="Y1" s="1372"/>
      <c r="Z1" s="1372"/>
      <c r="AA1" s="1372"/>
      <c r="AB1" s="1372"/>
      <c r="AC1" s="1372"/>
    </row>
    <row r="2" spans="2:30" ht="14" customHeight="1">
      <c r="B2" s="1397" t="s">
        <v>1165</v>
      </c>
      <c r="C2" s="1397"/>
      <c r="D2" s="1397"/>
      <c r="E2" s="1397"/>
      <c r="F2" s="1397"/>
      <c r="G2" s="1397"/>
      <c r="H2" s="1397"/>
      <c r="I2" s="1397"/>
      <c r="J2" s="1397"/>
      <c r="K2" s="1397"/>
      <c r="L2" s="1397"/>
      <c r="M2" s="1397"/>
      <c r="N2" s="1397"/>
      <c r="O2" s="1397"/>
      <c r="P2" s="1397"/>
      <c r="Q2" s="1397"/>
      <c r="R2" s="1397"/>
      <c r="S2" s="1397"/>
      <c r="T2" s="1397"/>
      <c r="U2" s="1397"/>
      <c r="V2" s="1397"/>
      <c r="W2" s="1397"/>
      <c r="X2" s="1397"/>
      <c r="Y2" s="1397"/>
      <c r="Z2" s="1397"/>
      <c r="AA2" s="1397"/>
      <c r="AB2" s="1397"/>
      <c r="AC2" s="1397"/>
    </row>
    <row r="3" spans="2:30">
      <c r="B3" s="1397"/>
      <c r="C3" s="1397"/>
      <c r="D3" s="1397"/>
      <c r="E3" s="1397"/>
      <c r="F3" s="1397"/>
      <c r="G3" s="1397"/>
      <c r="H3" s="1397"/>
      <c r="I3" s="1397"/>
      <c r="J3" s="1397"/>
      <c r="K3" s="1397"/>
      <c r="L3" s="1397"/>
      <c r="M3" s="1397"/>
      <c r="N3" s="1397"/>
      <c r="O3" s="1397"/>
      <c r="P3" s="1397"/>
      <c r="Q3" s="1397"/>
      <c r="R3" s="1397"/>
      <c r="S3" s="1397"/>
      <c r="T3" s="1397"/>
      <c r="U3" s="1397"/>
      <c r="V3" s="1397"/>
      <c r="W3" s="1397"/>
      <c r="X3" s="1397"/>
      <c r="Y3" s="1397"/>
      <c r="Z3" s="1397"/>
      <c r="AA3" s="1397"/>
      <c r="AB3" s="1397"/>
      <c r="AC3" s="1397"/>
    </row>
    <row r="4" spans="2:30">
      <c r="B4" s="1397"/>
      <c r="C4" s="1397"/>
      <c r="D4" s="1397"/>
      <c r="E4" s="1397"/>
      <c r="F4" s="1397"/>
      <c r="G4" s="1397"/>
      <c r="H4" s="1397"/>
      <c r="I4" s="1397"/>
      <c r="J4" s="1397"/>
      <c r="K4" s="1397"/>
      <c r="L4" s="1397"/>
      <c r="M4" s="1397"/>
      <c r="N4" s="1397"/>
      <c r="O4" s="1397"/>
      <c r="P4" s="1397"/>
      <c r="Q4" s="1397"/>
      <c r="R4" s="1397"/>
      <c r="S4" s="1397"/>
      <c r="T4" s="1397"/>
      <c r="U4" s="1397"/>
      <c r="V4" s="1397"/>
      <c r="W4" s="1397"/>
      <c r="X4" s="1397"/>
      <c r="Y4" s="1397"/>
      <c r="Z4" s="1397"/>
      <c r="AA4" s="1397"/>
      <c r="AB4" s="1397"/>
      <c r="AC4" s="1397"/>
    </row>
    <row r="5" spans="2:30">
      <c r="B5" s="1397"/>
      <c r="C5" s="1397"/>
      <c r="D5" s="1397"/>
      <c r="E5" s="1397"/>
      <c r="F5" s="1397"/>
      <c r="G5" s="1397"/>
      <c r="H5" s="1397"/>
      <c r="I5" s="1397"/>
      <c r="J5" s="1397"/>
      <c r="K5" s="1397"/>
      <c r="L5" s="1397"/>
      <c r="M5" s="1397"/>
      <c r="N5" s="1397"/>
      <c r="O5" s="1397"/>
      <c r="P5" s="1397"/>
      <c r="Q5" s="1397"/>
      <c r="R5" s="1397"/>
      <c r="S5" s="1397"/>
      <c r="T5" s="1397"/>
      <c r="U5" s="1397"/>
      <c r="V5" s="1397"/>
      <c r="W5" s="1397"/>
      <c r="X5" s="1397"/>
      <c r="Y5" s="1397"/>
      <c r="Z5" s="1397"/>
      <c r="AA5" s="1397"/>
      <c r="AB5" s="1397"/>
      <c r="AC5" s="1397"/>
    </row>
    <row r="6" spans="2:30" ht="38.5" customHeight="1">
      <c r="B6" s="1397"/>
      <c r="C6" s="1397"/>
      <c r="D6" s="1397"/>
      <c r="E6" s="1397"/>
      <c r="F6" s="1397"/>
      <c r="G6" s="1397"/>
      <c r="H6" s="1397"/>
      <c r="I6" s="1397"/>
      <c r="J6" s="1397"/>
      <c r="K6" s="1397"/>
      <c r="L6" s="1397"/>
      <c r="M6" s="1397"/>
      <c r="N6" s="1397"/>
      <c r="O6" s="1397"/>
      <c r="P6" s="1397"/>
      <c r="Q6" s="1397"/>
      <c r="R6" s="1397"/>
      <c r="S6" s="1397"/>
      <c r="T6" s="1397"/>
      <c r="U6" s="1397"/>
      <c r="V6" s="1397"/>
      <c r="W6" s="1397"/>
      <c r="X6" s="1397"/>
      <c r="Y6" s="1397"/>
      <c r="Z6" s="1397"/>
      <c r="AA6" s="1397"/>
      <c r="AB6" s="1397"/>
      <c r="AC6" s="1397"/>
    </row>
    <row r="7" spans="2:30">
      <c r="B7" s="51"/>
      <c r="C7" s="51"/>
      <c r="D7" s="263"/>
      <c r="E7" s="263"/>
      <c r="F7" s="263"/>
      <c r="G7" s="263"/>
      <c r="H7" s="52"/>
      <c r="I7" s="52"/>
      <c r="J7" s="52"/>
      <c r="K7" s="52"/>
      <c r="L7" s="52"/>
      <c r="M7" s="52"/>
      <c r="N7" s="52"/>
      <c r="O7" s="52"/>
      <c r="P7" s="52"/>
      <c r="Q7" s="52"/>
      <c r="R7" s="52"/>
      <c r="S7" s="52"/>
      <c r="T7" s="52"/>
      <c r="U7" s="52"/>
      <c r="V7" s="241"/>
      <c r="W7" s="241"/>
      <c r="X7" s="241"/>
      <c r="Y7" s="241"/>
    </row>
    <row r="8" spans="2:30" ht="14.5" customHeight="1">
      <c r="B8" s="1390" t="s">
        <v>260</v>
      </c>
      <c r="C8" s="1391"/>
      <c r="D8" s="1402" t="s">
        <v>261</v>
      </c>
      <c r="E8" s="1403"/>
      <c r="F8" s="1403"/>
      <c r="G8" s="1403"/>
      <c r="H8" s="1403"/>
      <c r="I8" s="1403"/>
      <c r="J8" s="1403"/>
      <c r="K8" s="1403"/>
      <c r="L8" s="1403"/>
      <c r="M8" s="1387"/>
      <c r="N8" s="1425"/>
      <c r="O8" s="1388" t="s">
        <v>143</v>
      </c>
      <c r="P8" s="1437"/>
      <c r="Q8" s="1437"/>
      <c r="R8" s="1437"/>
      <c r="S8" s="1437"/>
      <c r="T8" s="1437"/>
      <c r="U8" s="1437"/>
      <c r="V8" s="1437"/>
      <c r="W8" s="1437"/>
      <c r="X8" s="1437"/>
      <c r="Y8" s="1399"/>
      <c r="Z8" s="1399"/>
      <c r="AA8" s="1399"/>
      <c r="AB8" s="1399"/>
      <c r="AC8" s="1400"/>
    </row>
    <row r="9" spans="2:30" ht="12.5" customHeight="1">
      <c r="B9" s="1392"/>
      <c r="C9" s="1393"/>
      <c r="D9" s="838">
        <v>2018</v>
      </c>
      <c r="E9" s="1373">
        <v>2019</v>
      </c>
      <c r="F9" s="1426"/>
      <c r="G9" s="1426"/>
      <c r="H9" s="1383"/>
      <c r="I9" s="1426">
        <v>2020</v>
      </c>
      <c r="J9" s="1374"/>
      <c r="K9" s="1374"/>
      <c r="L9" s="1374"/>
      <c r="M9" s="1373">
        <v>2021</v>
      </c>
      <c r="N9" s="1383"/>
      <c r="O9" s="1438">
        <v>2021</v>
      </c>
      <c r="P9" s="1439"/>
      <c r="Q9" s="1438">
        <v>2022</v>
      </c>
      <c r="R9" s="1442"/>
      <c r="S9" s="1442"/>
      <c r="T9" s="1442"/>
      <c r="U9" s="1438">
        <v>2023</v>
      </c>
      <c r="V9" s="1442"/>
      <c r="W9" s="1442"/>
      <c r="X9" s="1442"/>
      <c r="Y9" s="1396">
        <v>2024</v>
      </c>
      <c r="Z9" s="1401"/>
      <c r="AA9" s="1401"/>
      <c r="AB9" s="1401"/>
      <c r="AC9" s="475">
        <v>2025</v>
      </c>
    </row>
    <row r="10" spans="2:30" ht="14.5" customHeight="1">
      <c r="B10" s="1392"/>
      <c r="C10" s="1393"/>
      <c r="D10" s="224" t="s">
        <v>138</v>
      </c>
      <c r="E10" s="224" t="s">
        <v>135</v>
      </c>
      <c r="F10" s="200" t="s">
        <v>136</v>
      </c>
      <c r="G10" s="200" t="s">
        <v>137</v>
      </c>
      <c r="H10" s="208" t="s">
        <v>138</v>
      </c>
      <c r="I10" s="201" t="s">
        <v>135</v>
      </c>
      <c r="J10" s="201" t="s">
        <v>136</v>
      </c>
      <c r="K10" s="201" t="s">
        <v>137</v>
      </c>
      <c r="L10" s="201" t="s">
        <v>138</v>
      </c>
      <c r="M10" s="216" t="s">
        <v>135</v>
      </c>
      <c r="N10" s="208" t="s">
        <v>136</v>
      </c>
      <c r="O10" s="891" t="s">
        <v>137</v>
      </c>
      <c r="P10" s="893" t="s">
        <v>138</v>
      </c>
      <c r="Q10" s="891" t="s">
        <v>135</v>
      </c>
      <c r="R10" s="892" t="s">
        <v>136</v>
      </c>
      <c r="S10" s="892" t="s">
        <v>137</v>
      </c>
      <c r="T10" s="892" t="s">
        <v>138</v>
      </c>
      <c r="U10" s="891" t="s">
        <v>135</v>
      </c>
      <c r="V10" s="892" t="s">
        <v>136</v>
      </c>
      <c r="W10" s="892" t="s">
        <v>137</v>
      </c>
      <c r="X10" s="892" t="s">
        <v>138</v>
      </c>
      <c r="Y10" s="64" t="s">
        <v>135</v>
      </c>
      <c r="Z10" s="698" t="s">
        <v>136</v>
      </c>
      <c r="AA10" s="65" t="s">
        <v>137</v>
      </c>
      <c r="AB10" s="65" t="s">
        <v>138</v>
      </c>
      <c r="AC10" s="67" t="s">
        <v>135</v>
      </c>
    </row>
    <row r="11" spans="2:30">
      <c r="B11" s="507" t="s">
        <v>262</v>
      </c>
      <c r="C11" s="508" t="s">
        <v>193</v>
      </c>
      <c r="D11" s="955">
        <f>'Haver Pivoted'!GO14</f>
        <v>27.1</v>
      </c>
      <c r="E11" s="170">
        <f>'Haver Pivoted'!GP14</f>
        <v>28.4</v>
      </c>
      <c r="F11" s="170">
        <f>'Haver Pivoted'!GQ14</f>
        <v>27.8</v>
      </c>
      <c r="G11" s="170">
        <f>'Haver Pivoted'!GR14</f>
        <v>27.4</v>
      </c>
      <c r="H11" s="170">
        <f>'Haver Pivoted'!GS14</f>
        <v>26.8</v>
      </c>
      <c r="I11" s="170">
        <f>'Haver Pivoted'!GT14</f>
        <v>39.5</v>
      </c>
      <c r="J11" s="170">
        <f>'Haver Pivoted'!GU14</f>
        <v>1039.4000000000001</v>
      </c>
      <c r="K11" s="170">
        <f>'Haver Pivoted'!GV14</f>
        <v>767.8</v>
      </c>
      <c r="L11" s="170">
        <f>'Haver Pivoted'!GW14</f>
        <v>299.89999999999998</v>
      </c>
      <c r="M11" s="170">
        <f>'Haver Pivoted'!GX14</f>
        <v>565.79999999999995</v>
      </c>
      <c r="N11" s="170">
        <f>'Haver Pivoted'!GY14</f>
        <v>480.5</v>
      </c>
      <c r="O11" s="703">
        <f t="shared" ref="O11:AC11" si="0">O12+O13+O20</f>
        <v>435.30058054787651</v>
      </c>
      <c r="P11" s="956">
        <f t="shared" si="0"/>
        <v>36.046109826589621</v>
      </c>
      <c r="Q11" s="956">
        <f t="shared" si="0"/>
        <v>32.09660115606939</v>
      </c>
      <c r="R11" s="956">
        <f t="shared" si="0"/>
        <v>29.867670520231236</v>
      </c>
      <c r="S11" s="956">
        <f t="shared" si="0"/>
        <v>28.796219653179211</v>
      </c>
      <c r="T11" s="956">
        <f t="shared" si="0"/>
        <v>28.444283236994242</v>
      </c>
      <c r="U11" s="956">
        <f t="shared" si="0"/>
        <v>28.639803468208115</v>
      </c>
      <c r="V11" s="956">
        <f t="shared" si="0"/>
        <v>29.077768786127191</v>
      </c>
      <c r="W11" s="956">
        <f t="shared" si="0"/>
        <v>29.52355491329482</v>
      </c>
      <c r="X11" s="956">
        <f t="shared" si="0"/>
        <v>29.992803468208116</v>
      </c>
      <c r="Y11" s="956">
        <f t="shared" si="0"/>
        <v>30.579364161849735</v>
      </c>
      <c r="Z11" s="956">
        <f t="shared" si="0"/>
        <v>31.064254335260141</v>
      </c>
      <c r="AA11" s="956">
        <f t="shared" si="0"/>
        <v>31.447473988439334</v>
      </c>
      <c r="AB11" s="956">
        <f t="shared" si="0"/>
        <v>31.924543352601184</v>
      </c>
      <c r="AC11" s="1062">
        <f t="shared" si="0"/>
        <v>32.385971098265927</v>
      </c>
      <c r="AD11" s="36" t="s">
        <v>263</v>
      </c>
    </row>
    <row r="12" spans="2:30" s="120" customFormat="1">
      <c r="B12" s="498" t="s">
        <v>264</v>
      </c>
      <c r="C12" s="499" t="s">
        <v>194</v>
      </c>
      <c r="D12" s="852">
        <f>'Haver Pivoted'!GO63</f>
        <v>0</v>
      </c>
      <c r="E12" s="848">
        <f>'Haver Pivoted'!GP63</f>
        <v>0</v>
      </c>
      <c r="F12" s="848">
        <f>'Haver Pivoted'!GQ63</f>
        <v>0</v>
      </c>
      <c r="G12" s="848">
        <f>'Haver Pivoted'!GR63</f>
        <v>0</v>
      </c>
      <c r="H12" s="848">
        <f>'Haver Pivoted'!GS63</f>
        <v>0</v>
      </c>
      <c r="I12" s="848">
        <f>'Haver Pivoted'!GT63</f>
        <v>0</v>
      </c>
      <c r="J12" s="848">
        <f>'Haver Pivoted'!GU63</f>
        <v>0.1</v>
      </c>
      <c r="K12" s="848">
        <f>'Haver Pivoted'!GV63</f>
        <v>3.7</v>
      </c>
      <c r="L12" s="848">
        <f>'Haver Pivoted'!GW63</f>
        <v>12.9</v>
      </c>
      <c r="M12" s="848">
        <f>'Haver Pivoted'!GX63</f>
        <v>25</v>
      </c>
      <c r="N12" s="848">
        <f>'Haver Pivoted'!GY63</f>
        <v>5.8</v>
      </c>
      <c r="O12" s="576">
        <f>MAX(N12*(O22-5)/(N22-5),0)</f>
        <v>2.2544347826086986</v>
      </c>
      <c r="P12" s="577">
        <v>0</v>
      </c>
      <c r="Q12" s="577">
        <f>MAX(P12*(Q22-5)/(P22-5),0)</f>
        <v>0</v>
      </c>
      <c r="R12" s="577">
        <f>MAX(Q12*(R22-5)/(Q22-5),0)</f>
        <v>0</v>
      </c>
      <c r="S12" s="577">
        <f>MAX(R12*(S22-5)/(R22-5),0)</f>
        <v>0</v>
      </c>
      <c r="T12" s="577">
        <f>MAX(S12*(T22-5)/(S22-5),0)</f>
        <v>0</v>
      </c>
      <c r="U12" s="577">
        <f t="shared" ref="U12:AC12" si="1">T12*U22/T22</f>
        <v>0</v>
      </c>
      <c r="V12" s="577">
        <f t="shared" si="1"/>
        <v>0</v>
      </c>
      <c r="W12" s="577">
        <f t="shared" si="1"/>
        <v>0</v>
      </c>
      <c r="X12" s="577">
        <f t="shared" si="1"/>
        <v>0</v>
      </c>
      <c r="Y12" s="577">
        <f t="shared" si="1"/>
        <v>0</v>
      </c>
      <c r="Z12" s="577">
        <f t="shared" si="1"/>
        <v>0</v>
      </c>
      <c r="AA12" s="577">
        <f t="shared" si="1"/>
        <v>0</v>
      </c>
      <c r="AB12" s="577">
        <f t="shared" si="1"/>
        <v>0</v>
      </c>
      <c r="AC12" s="578">
        <f t="shared" si="1"/>
        <v>0</v>
      </c>
      <c r="AD12" s="120" t="s">
        <v>265</v>
      </c>
    </row>
    <row r="13" spans="2:30">
      <c r="B13" s="498" t="s">
        <v>266</v>
      </c>
      <c r="C13" s="499"/>
      <c r="D13" s="852"/>
      <c r="E13" s="848"/>
      <c r="F13" s="848"/>
      <c r="G13" s="848"/>
      <c r="H13" s="73">
        <f>SUM(H14:H17)</f>
        <v>0</v>
      </c>
      <c r="I13" s="73">
        <f t="shared" ref="I13:M13" si="2">SUM(I14:I17)</f>
        <v>0</v>
      </c>
      <c r="J13" s="73">
        <f t="shared" si="2"/>
        <v>779.7</v>
      </c>
      <c r="K13" s="73">
        <f t="shared" si="2"/>
        <v>582.6</v>
      </c>
      <c r="L13" s="73">
        <f t="shared" si="2"/>
        <v>216.5</v>
      </c>
      <c r="M13" s="73">
        <f t="shared" si="2"/>
        <v>505</v>
      </c>
      <c r="N13" s="397">
        <f>SUM(N14:N17)</f>
        <v>429.59999999999997</v>
      </c>
      <c r="O13" s="576">
        <f t="shared" ref="O13:AC13" si="3">SUM(O14:O17)</f>
        <v>391.6114983664238</v>
      </c>
      <c r="P13" s="577">
        <f t="shared" si="3"/>
        <v>0</v>
      </c>
      <c r="Q13" s="577">
        <f t="shared" si="3"/>
        <v>0</v>
      </c>
      <c r="R13" s="577">
        <f t="shared" si="3"/>
        <v>0</v>
      </c>
      <c r="S13" s="577">
        <f t="shared" si="3"/>
        <v>0</v>
      </c>
      <c r="T13" s="577">
        <f t="shared" si="3"/>
        <v>0</v>
      </c>
      <c r="U13" s="577">
        <f t="shared" si="3"/>
        <v>0</v>
      </c>
      <c r="V13" s="577">
        <f t="shared" si="3"/>
        <v>0</v>
      </c>
      <c r="W13" s="577">
        <f t="shared" si="3"/>
        <v>0</v>
      </c>
      <c r="X13" s="577">
        <f t="shared" si="3"/>
        <v>0</v>
      </c>
      <c r="Y13" s="577">
        <f t="shared" si="3"/>
        <v>0</v>
      </c>
      <c r="Z13" s="577">
        <f t="shared" si="3"/>
        <v>0</v>
      </c>
      <c r="AA13" s="577">
        <f t="shared" si="3"/>
        <v>0</v>
      </c>
      <c r="AB13" s="577">
        <f t="shared" si="3"/>
        <v>0</v>
      </c>
      <c r="AC13" s="578">
        <f t="shared" si="3"/>
        <v>0</v>
      </c>
      <c r="AD13" s="36" t="s">
        <v>274</v>
      </c>
    </row>
    <row r="14" spans="2:30" s="120" customFormat="1" ht="18" customHeight="1">
      <c r="B14" s="500" t="s">
        <v>267</v>
      </c>
      <c r="C14" s="501" t="s">
        <v>194</v>
      </c>
      <c r="D14" s="161">
        <f>'Haver Pivoted'!GO63</f>
        <v>0</v>
      </c>
      <c r="E14" s="177">
        <f>'Haver Pivoted'!GP63</f>
        <v>0</v>
      </c>
      <c r="F14" s="177">
        <f>'Haver Pivoted'!GQ63</f>
        <v>0</v>
      </c>
      <c r="G14" s="177">
        <f>'Haver Pivoted'!GR63</f>
        <v>0</v>
      </c>
      <c r="H14" s="177">
        <f>'Haver Pivoted'!GS63</f>
        <v>0</v>
      </c>
      <c r="I14" s="177">
        <f>'Haver Pivoted'!GT63</f>
        <v>0</v>
      </c>
      <c r="J14" s="177">
        <f>'Haver Pivoted'!GU63</f>
        <v>0.1</v>
      </c>
      <c r="K14" s="177">
        <f>'Haver Pivoted'!GV63</f>
        <v>3.7</v>
      </c>
      <c r="L14" s="177">
        <f>'Haver Pivoted'!GW63</f>
        <v>12.9</v>
      </c>
      <c r="M14" s="177">
        <f>'Haver Pivoted'!GX63</f>
        <v>25</v>
      </c>
      <c r="N14" s="177">
        <f>'Haver Pivoted'!GY63</f>
        <v>5.8</v>
      </c>
      <c r="O14" s="579">
        <f t="shared" ref="O14:X14" si="4">O12</f>
        <v>2.2544347826086986</v>
      </c>
      <c r="P14" s="580">
        <f t="shared" si="4"/>
        <v>0</v>
      </c>
      <c r="Q14" s="580">
        <f t="shared" si="4"/>
        <v>0</v>
      </c>
      <c r="R14" s="580">
        <f t="shared" si="4"/>
        <v>0</v>
      </c>
      <c r="S14" s="580">
        <f t="shared" si="4"/>
        <v>0</v>
      </c>
      <c r="T14" s="580">
        <f t="shared" si="4"/>
        <v>0</v>
      </c>
      <c r="U14" s="580">
        <f t="shared" si="4"/>
        <v>0</v>
      </c>
      <c r="V14" s="580">
        <f t="shared" si="4"/>
        <v>0</v>
      </c>
      <c r="W14" s="580">
        <f t="shared" si="4"/>
        <v>0</v>
      </c>
      <c r="X14" s="580">
        <f t="shared" si="4"/>
        <v>0</v>
      </c>
      <c r="Y14" s="580">
        <f>Y12</f>
        <v>0</v>
      </c>
      <c r="Z14" s="580">
        <f t="shared" ref="Z14:AC14" si="5">Z12</f>
        <v>0</v>
      </c>
      <c r="AA14" s="580">
        <f t="shared" si="5"/>
        <v>0</v>
      </c>
      <c r="AB14" s="580">
        <f t="shared" si="5"/>
        <v>0</v>
      </c>
      <c r="AC14" s="1063">
        <f t="shared" si="5"/>
        <v>0</v>
      </c>
    </row>
    <row r="15" spans="2:30" ht="18" customHeight="1">
      <c r="B15" s="509" t="s">
        <v>268</v>
      </c>
      <c r="C15" s="510" t="s">
        <v>195</v>
      </c>
      <c r="D15" s="514">
        <f>'Haver Pivoted'!GO59</f>
        <v>0</v>
      </c>
      <c r="E15" s="515">
        <f>'Haver Pivoted'!GP59</f>
        <v>0</v>
      </c>
      <c r="F15" s="515">
        <f>'Haver Pivoted'!GQ59</f>
        <v>0</v>
      </c>
      <c r="G15" s="515">
        <f>'Haver Pivoted'!GR59</f>
        <v>0</v>
      </c>
      <c r="H15" s="515">
        <f>'Haver Pivoted'!GS59</f>
        <v>0</v>
      </c>
      <c r="I15" s="515">
        <f>'Haver Pivoted'!GT59</f>
        <v>0</v>
      </c>
      <c r="J15" s="515">
        <f>'Haver Pivoted'!GU59</f>
        <v>6.3</v>
      </c>
      <c r="K15" s="515">
        <f>'Haver Pivoted'!GV59</f>
        <v>26.7</v>
      </c>
      <c r="L15" s="515">
        <f>'Haver Pivoted'!GW59</f>
        <v>82.1</v>
      </c>
      <c r="M15" s="515">
        <f>'Haver Pivoted'!GX59</f>
        <v>97.8</v>
      </c>
      <c r="N15" s="515">
        <f>'Haver Pivoted'!GY59</f>
        <v>104.5</v>
      </c>
      <c r="O15" s="579">
        <f>N15*O$22/N$22</f>
        <v>96.007109826589598</v>
      </c>
      <c r="P15" s="580">
        <v>0</v>
      </c>
      <c r="Q15" s="580">
        <f t="shared" ref="Q15:AC15" si="6">P15*Q$22/P$22</f>
        <v>0</v>
      </c>
      <c r="R15" s="580">
        <f t="shared" si="6"/>
        <v>0</v>
      </c>
      <c r="S15" s="580">
        <f t="shared" si="6"/>
        <v>0</v>
      </c>
      <c r="T15" s="580">
        <f t="shared" si="6"/>
        <v>0</v>
      </c>
      <c r="U15" s="580">
        <f t="shared" si="6"/>
        <v>0</v>
      </c>
      <c r="V15" s="580">
        <f t="shared" si="6"/>
        <v>0</v>
      </c>
      <c r="W15" s="580">
        <f t="shared" si="6"/>
        <v>0</v>
      </c>
      <c r="X15" s="580">
        <f t="shared" si="6"/>
        <v>0</v>
      </c>
      <c r="Y15" s="580">
        <f t="shared" si="6"/>
        <v>0</v>
      </c>
      <c r="Z15" s="580">
        <f t="shared" si="6"/>
        <v>0</v>
      </c>
      <c r="AA15" s="580">
        <f t="shared" si="6"/>
        <v>0</v>
      </c>
      <c r="AB15" s="580">
        <f t="shared" si="6"/>
        <v>0</v>
      </c>
      <c r="AC15" s="1063">
        <f t="shared" si="6"/>
        <v>0</v>
      </c>
    </row>
    <row r="16" spans="2:30" ht="18" customHeight="1">
      <c r="B16" s="509" t="s">
        <v>269</v>
      </c>
      <c r="C16" s="510" t="s">
        <v>196</v>
      </c>
      <c r="D16" s="514">
        <f>'Haver Pivoted'!GO60</f>
        <v>0</v>
      </c>
      <c r="E16" s="515">
        <f>'Haver Pivoted'!GP60</f>
        <v>0</v>
      </c>
      <c r="F16" s="515">
        <f>'Haver Pivoted'!GQ60</f>
        <v>0</v>
      </c>
      <c r="G16" s="515">
        <f>'Haver Pivoted'!GR60</f>
        <v>0</v>
      </c>
      <c r="H16" s="515">
        <f>'Haver Pivoted'!GS60</f>
        <v>0</v>
      </c>
      <c r="I16" s="515">
        <f>'Haver Pivoted'!GT60</f>
        <v>0</v>
      </c>
      <c r="J16" s="515">
        <f>'Haver Pivoted'!GU60</f>
        <v>74.400000000000006</v>
      </c>
      <c r="K16" s="515">
        <f>'Haver Pivoted'!GV60</f>
        <v>138.30000000000001</v>
      </c>
      <c r="L16" s="515">
        <f>'Haver Pivoted'!GW60</f>
        <v>106.8</v>
      </c>
      <c r="M16" s="515">
        <f>'Haver Pivoted'!GX60</f>
        <v>95.3</v>
      </c>
      <c r="N16" s="515">
        <f>'Haver Pivoted'!GY60</f>
        <v>82.1</v>
      </c>
      <c r="O16" s="579">
        <f>N16*O$22/N$22</f>
        <v>75.427595375722561</v>
      </c>
      <c r="P16" s="580">
        <v>0</v>
      </c>
      <c r="Q16" s="580">
        <f t="shared" ref="Q16:AC16" si="7">P16*Q$22/P$22</f>
        <v>0</v>
      </c>
      <c r="R16" s="580">
        <f t="shared" si="7"/>
        <v>0</v>
      </c>
      <c r="S16" s="580">
        <f t="shared" si="7"/>
        <v>0</v>
      </c>
      <c r="T16" s="580">
        <f t="shared" si="7"/>
        <v>0</v>
      </c>
      <c r="U16" s="580">
        <f t="shared" si="7"/>
        <v>0</v>
      </c>
      <c r="V16" s="580">
        <f t="shared" si="7"/>
        <v>0</v>
      </c>
      <c r="W16" s="580">
        <f t="shared" si="7"/>
        <v>0</v>
      </c>
      <c r="X16" s="580">
        <f t="shared" si="7"/>
        <v>0</v>
      </c>
      <c r="Y16" s="580">
        <f t="shared" si="7"/>
        <v>0</v>
      </c>
      <c r="Z16" s="580">
        <f t="shared" si="7"/>
        <v>0</v>
      </c>
      <c r="AA16" s="580">
        <f t="shared" si="7"/>
        <v>0</v>
      </c>
      <c r="AB16" s="580">
        <f t="shared" si="7"/>
        <v>0</v>
      </c>
      <c r="AC16" s="1063">
        <f t="shared" si="7"/>
        <v>0</v>
      </c>
    </row>
    <row r="17" spans="2:30" ht="18" customHeight="1">
      <c r="B17" s="509" t="s">
        <v>270</v>
      </c>
      <c r="C17" s="510" t="s">
        <v>197</v>
      </c>
      <c r="D17" s="514">
        <f>'Haver Pivoted'!GO61</f>
        <v>0</v>
      </c>
      <c r="E17" s="515">
        <f>'Haver Pivoted'!GP61</f>
        <v>0</v>
      </c>
      <c r="F17" s="515">
        <f>'Haver Pivoted'!GQ61</f>
        <v>0</v>
      </c>
      <c r="G17" s="515">
        <f>'Haver Pivoted'!GR61</f>
        <v>0</v>
      </c>
      <c r="H17" s="515">
        <f>'Haver Pivoted'!GS61</f>
        <v>0</v>
      </c>
      <c r="I17" s="515">
        <f>'Haver Pivoted'!GT61</f>
        <v>0</v>
      </c>
      <c r="J17" s="515">
        <f>'Haver Pivoted'!GU61</f>
        <v>698.9</v>
      </c>
      <c r="K17" s="515">
        <f>'Haver Pivoted'!GV61</f>
        <v>413.9</v>
      </c>
      <c r="L17" s="515">
        <f>'Haver Pivoted'!GW61</f>
        <v>14.7</v>
      </c>
      <c r="M17" s="515">
        <f>'Haver Pivoted'!GX61</f>
        <v>286.89999999999998</v>
      </c>
      <c r="N17" s="515">
        <f>'Haver Pivoted'!GY61</f>
        <v>237.2</v>
      </c>
      <c r="O17" s="579">
        <f>N17*O$22/N$22</f>
        <v>217.92235838150293</v>
      </c>
      <c r="P17" s="580">
        <v>0</v>
      </c>
      <c r="Q17" s="580">
        <f t="shared" ref="Q17:AC17" si="8">P17*Q$22/P$22</f>
        <v>0</v>
      </c>
      <c r="R17" s="580">
        <f t="shared" si="8"/>
        <v>0</v>
      </c>
      <c r="S17" s="580">
        <f t="shared" si="8"/>
        <v>0</v>
      </c>
      <c r="T17" s="580">
        <f t="shared" si="8"/>
        <v>0</v>
      </c>
      <c r="U17" s="580">
        <f t="shared" si="8"/>
        <v>0</v>
      </c>
      <c r="V17" s="580">
        <f t="shared" si="8"/>
        <v>0</v>
      </c>
      <c r="W17" s="580">
        <f t="shared" si="8"/>
        <v>0</v>
      </c>
      <c r="X17" s="580">
        <f t="shared" si="8"/>
        <v>0</v>
      </c>
      <c r="Y17" s="580">
        <f t="shared" si="8"/>
        <v>0</v>
      </c>
      <c r="Z17" s="580">
        <f t="shared" si="8"/>
        <v>0</v>
      </c>
      <c r="AA17" s="580">
        <f t="shared" si="8"/>
        <v>0</v>
      </c>
      <c r="AB17" s="580">
        <f t="shared" si="8"/>
        <v>0</v>
      </c>
      <c r="AC17" s="1063">
        <f t="shared" si="8"/>
        <v>0</v>
      </c>
    </row>
    <row r="18" spans="2:30" s="120" customFormat="1" ht="15">
      <c r="B18" s="259" t="s">
        <v>271</v>
      </c>
      <c r="C18" s="120" t="s">
        <v>198</v>
      </c>
      <c r="D18" s="852">
        <f>'Haver Pivoted'!GO64</f>
        <v>0</v>
      </c>
      <c r="E18" s="848">
        <f>'Haver Pivoted'!GP64</f>
        <v>0</v>
      </c>
      <c r="F18" s="848">
        <f>'Haver Pivoted'!GQ64</f>
        <v>0</v>
      </c>
      <c r="G18" s="848">
        <f>'Haver Pivoted'!GR64</f>
        <v>0</v>
      </c>
      <c r="H18" s="848">
        <f>'Haver Pivoted'!GS64</f>
        <v>0</v>
      </c>
      <c r="I18" s="848">
        <f>'Haver Pivoted'!GT64</f>
        <v>0</v>
      </c>
      <c r="J18" s="848">
        <f>'Haver Pivoted'!GU64</f>
        <v>0</v>
      </c>
      <c r="K18" s="848">
        <f>'Haver Pivoted'!GV64</f>
        <v>106.2</v>
      </c>
      <c r="L18" s="848">
        <f>'Haver Pivoted'!GW64</f>
        <v>35.9</v>
      </c>
      <c r="M18" s="848">
        <f>'Haver Pivoted'!GX64</f>
        <v>1.6</v>
      </c>
      <c r="N18" s="848">
        <f>'Haver Pivoted'!GY64</f>
        <v>0.6</v>
      </c>
      <c r="O18" s="576"/>
      <c r="P18" s="577"/>
      <c r="Q18" s="577"/>
      <c r="R18" s="577"/>
      <c r="S18" s="577"/>
      <c r="T18" s="577"/>
      <c r="U18" s="577"/>
      <c r="V18" s="577"/>
      <c r="W18" s="577"/>
      <c r="X18" s="577"/>
      <c r="Y18" s="577"/>
      <c r="Z18" s="577"/>
      <c r="AA18" s="577"/>
      <c r="AB18" s="577"/>
      <c r="AC18" s="578"/>
    </row>
    <row r="19" spans="2:30" ht="15">
      <c r="B19" s="326" t="s">
        <v>508</v>
      </c>
      <c r="C19" s="511"/>
      <c r="D19" s="513">
        <f t="shared" ref="D19:N19" si="9">D11-D20</f>
        <v>0</v>
      </c>
      <c r="E19" s="512">
        <f t="shared" si="9"/>
        <v>0</v>
      </c>
      <c r="F19" s="512">
        <f t="shared" si="9"/>
        <v>0</v>
      </c>
      <c r="G19" s="512">
        <f t="shared" si="9"/>
        <v>0</v>
      </c>
      <c r="H19" s="512">
        <f t="shared" si="9"/>
        <v>0</v>
      </c>
      <c r="I19" s="512">
        <f t="shared" si="9"/>
        <v>0</v>
      </c>
      <c r="J19" s="512">
        <f t="shared" si="9"/>
        <v>779.80000000000007</v>
      </c>
      <c r="K19" s="512">
        <f t="shared" si="9"/>
        <v>586.29999999999995</v>
      </c>
      <c r="L19" s="512">
        <f t="shared" si="9"/>
        <v>229.4</v>
      </c>
      <c r="M19" s="512">
        <f t="shared" si="9"/>
        <v>530</v>
      </c>
      <c r="N19" s="80">
        <f t="shared" si="9"/>
        <v>435.4</v>
      </c>
      <c r="O19" s="579">
        <f t="shared" ref="O19:Y19" si="10">O11-O20</f>
        <v>393.86593314903257</v>
      </c>
      <c r="P19" s="580">
        <f t="shared" si="10"/>
        <v>0</v>
      </c>
      <c r="Q19" s="580">
        <f t="shared" si="10"/>
        <v>0</v>
      </c>
      <c r="R19" s="580">
        <f t="shared" si="10"/>
        <v>0</v>
      </c>
      <c r="S19" s="580">
        <f t="shared" si="10"/>
        <v>0</v>
      </c>
      <c r="T19" s="580">
        <f t="shared" si="10"/>
        <v>0</v>
      </c>
      <c r="U19" s="580">
        <f t="shared" si="10"/>
        <v>0</v>
      </c>
      <c r="V19" s="580">
        <f t="shared" si="10"/>
        <v>0</v>
      </c>
      <c r="W19" s="580">
        <f t="shared" si="10"/>
        <v>0</v>
      </c>
      <c r="X19" s="580">
        <f t="shared" si="10"/>
        <v>0</v>
      </c>
      <c r="Y19" s="580">
        <f t="shared" si="10"/>
        <v>0</v>
      </c>
      <c r="Z19" s="580">
        <f t="shared" ref="Z19:AC19" si="11">Z11-Z20</f>
        <v>0</v>
      </c>
      <c r="AA19" s="580">
        <f t="shared" si="11"/>
        <v>0</v>
      </c>
      <c r="AB19" s="580">
        <f t="shared" si="11"/>
        <v>0</v>
      </c>
      <c r="AC19" s="1063">
        <f t="shared" si="11"/>
        <v>0</v>
      </c>
    </row>
    <row r="20" spans="2:30" ht="15">
      <c r="B20" s="326" t="s">
        <v>272</v>
      </c>
      <c r="C20" s="511"/>
      <c r="D20" s="513">
        <f t="shared" ref="D20:H20" si="12">D11</f>
        <v>27.1</v>
      </c>
      <c r="E20" s="512">
        <f t="shared" si="12"/>
        <v>28.4</v>
      </c>
      <c r="F20" s="512">
        <f t="shared" si="12"/>
        <v>27.8</v>
      </c>
      <c r="G20" s="512">
        <f t="shared" si="12"/>
        <v>27.4</v>
      </c>
      <c r="H20" s="512">
        <f t="shared" si="12"/>
        <v>26.8</v>
      </c>
      <c r="I20" s="512">
        <f>I11</f>
        <v>39.5</v>
      </c>
      <c r="J20" s="512">
        <f>J11-J13-J12</f>
        <v>259.60000000000002</v>
      </c>
      <c r="K20" s="512">
        <f>K11-K13-K12</f>
        <v>181.49999999999994</v>
      </c>
      <c r="L20" s="512">
        <f>L11-L13-L12</f>
        <v>70.499999999999972</v>
      </c>
      <c r="M20" s="512">
        <f>M11-M13-M12</f>
        <v>35.799999999999955</v>
      </c>
      <c r="N20" s="397">
        <f>N11-N12-N13</f>
        <v>45.100000000000023</v>
      </c>
      <c r="O20" s="576">
        <f t="shared" ref="O20:AC20" si="13">N20*O22/N22</f>
        <v>41.434647398843964</v>
      </c>
      <c r="P20" s="577">
        <f t="shared" si="13"/>
        <v>36.046109826589621</v>
      </c>
      <c r="Q20" s="577">
        <f t="shared" si="13"/>
        <v>32.09660115606939</v>
      </c>
      <c r="R20" s="577">
        <f t="shared" si="13"/>
        <v>29.867670520231236</v>
      </c>
      <c r="S20" s="577">
        <f t="shared" si="13"/>
        <v>28.796219653179211</v>
      </c>
      <c r="T20" s="577">
        <f t="shared" si="13"/>
        <v>28.444283236994242</v>
      </c>
      <c r="U20" s="577">
        <f t="shared" si="13"/>
        <v>28.639803468208115</v>
      </c>
      <c r="V20" s="577">
        <f t="shared" si="13"/>
        <v>29.077768786127191</v>
      </c>
      <c r="W20" s="577">
        <f t="shared" si="13"/>
        <v>29.52355491329482</v>
      </c>
      <c r="X20" s="577">
        <f t="shared" si="13"/>
        <v>29.992803468208116</v>
      </c>
      <c r="Y20" s="577">
        <f t="shared" si="13"/>
        <v>30.579364161849735</v>
      </c>
      <c r="Z20" s="577">
        <f t="shared" si="13"/>
        <v>31.064254335260141</v>
      </c>
      <c r="AA20" s="577">
        <f t="shared" si="13"/>
        <v>31.447473988439334</v>
      </c>
      <c r="AB20" s="577">
        <f t="shared" si="13"/>
        <v>31.924543352601184</v>
      </c>
      <c r="AC20" s="578">
        <f t="shared" si="13"/>
        <v>32.385971098265927</v>
      </c>
      <c r="AD20" s="36" t="s">
        <v>632</v>
      </c>
    </row>
    <row r="21" spans="2:30">
      <c r="B21" s="259"/>
      <c r="C21" s="511"/>
      <c r="D21" s="161"/>
      <c r="E21" s="177"/>
      <c r="F21" s="177"/>
      <c r="G21" s="177"/>
      <c r="H21" s="512"/>
      <c r="I21" s="512"/>
      <c r="J21" s="512"/>
      <c r="K21" s="512"/>
      <c r="L21" s="512"/>
      <c r="M21" s="512"/>
      <c r="N21" s="73"/>
      <c r="O21" s="564"/>
      <c r="P21" s="565"/>
      <c r="Q21" s="565"/>
      <c r="R21" s="565"/>
      <c r="S21" s="565"/>
      <c r="T21" s="565"/>
      <c r="U21" s="565"/>
      <c r="V21" s="565"/>
      <c r="W21" s="565"/>
      <c r="X21" s="565"/>
      <c r="Y21" s="565"/>
      <c r="Z21" s="565"/>
      <c r="AA21" s="565"/>
      <c r="AB21" s="565"/>
      <c r="AC21" s="567"/>
    </row>
    <row r="22" spans="2:30">
      <c r="B22" s="185" t="s">
        <v>1164</v>
      </c>
      <c r="C22" s="220"/>
      <c r="D22" s="502"/>
      <c r="E22" s="503"/>
      <c r="F22" s="503"/>
      <c r="G22" s="503"/>
      <c r="H22" s="953"/>
      <c r="I22" s="954"/>
      <c r="J22" s="954"/>
      <c r="K22" s="954"/>
      <c r="L22" s="954"/>
      <c r="M22" s="954">
        <f>D27</f>
        <v>6.166666666666667</v>
      </c>
      <c r="N22" s="954">
        <f>D30</f>
        <v>5.7666666666666657</v>
      </c>
      <c r="O22" s="570">
        <v>5.298</v>
      </c>
      <c r="P22" s="571">
        <v>4.609</v>
      </c>
      <c r="Q22" s="571">
        <v>4.1040000000000001</v>
      </c>
      <c r="R22" s="571">
        <v>3.819</v>
      </c>
      <c r="S22" s="571">
        <v>3.6819999999999999</v>
      </c>
      <c r="T22" s="571">
        <v>3.637</v>
      </c>
      <c r="U22" s="571">
        <v>3.6619999999999999</v>
      </c>
      <c r="V22" s="571">
        <v>3.718</v>
      </c>
      <c r="W22" s="571">
        <v>3.7749999999999999</v>
      </c>
      <c r="X22" s="571">
        <v>3.835</v>
      </c>
      <c r="Y22" s="571">
        <v>3.91</v>
      </c>
      <c r="Z22" s="571">
        <v>3.972</v>
      </c>
      <c r="AA22" s="571">
        <v>4.0209999999999999</v>
      </c>
      <c r="AB22" s="571">
        <v>4.0819999999999999</v>
      </c>
      <c r="AC22" s="1080">
        <v>4.141</v>
      </c>
      <c r="AD22" s="56" t="s">
        <v>1163</v>
      </c>
    </row>
    <row r="23" spans="2:30" s="302" customFormat="1">
      <c r="M23" s="235"/>
      <c r="N23" s="235"/>
      <c r="O23" s="235"/>
      <c r="P23" s="235"/>
      <c r="Q23" s="235"/>
      <c r="R23" s="235"/>
      <c r="S23" s="235"/>
      <c r="T23" s="235"/>
      <c r="U23" s="235"/>
      <c r="V23" s="235"/>
      <c r="W23" s="235"/>
      <c r="X23" s="235"/>
      <c r="Y23" s="235"/>
      <c r="Z23" s="235"/>
      <c r="AA23" s="235"/>
      <c r="AB23" s="235"/>
      <c r="AC23" s="235"/>
    </row>
    <row r="24" spans="2:30">
      <c r="AA24" s="43"/>
    </row>
    <row r="25" spans="2:30" s="302" customFormat="1">
      <c r="O25" s="35"/>
      <c r="P25" s="35"/>
      <c r="Q25" s="35"/>
      <c r="R25" s="35"/>
      <c r="S25" s="35"/>
      <c r="T25" s="35"/>
    </row>
    <row r="26" spans="2:30" ht="30.5" customHeight="1">
      <c r="B26" s="409" t="s">
        <v>630</v>
      </c>
      <c r="C26" s="410" t="s">
        <v>273</v>
      </c>
      <c r="D26" s="411" t="s">
        <v>631</v>
      </c>
      <c r="E26" s="36"/>
      <c r="F26" s="36"/>
      <c r="G26" s="36"/>
      <c r="K26" s="35"/>
      <c r="L26" s="35"/>
      <c r="M26" s="35"/>
      <c r="N26" s="35"/>
      <c r="O26" s="35"/>
      <c r="P26" s="35"/>
      <c r="R26" s="240"/>
      <c r="S26" s="240"/>
      <c r="T26" s="240"/>
      <c r="U26" s="240"/>
      <c r="V26" s="36"/>
      <c r="W26" s="36"/>
      <c r="X26" s="36"/>
      <c r="Y26" s="36"/>
    </row>
    <row r="27" spans="2:30">
      <c r="B27" s="408">
        <v>44197</v>
      </c>
      <c r="C27" s="35">
        <v>6.3</v>
      </c>
      <c r="D27" s="45">
        <f>AVERAGE(C27:C29)</f>
        <v>6.166666666666667</v>
      </c>
      <c r="E27" s="36"/>
      <c r="F27" s="36"/>
      <c r="G27" s="36"/>
      <c r="R27" s="240"/>
      <c r="S27" s="240"/>
      <c r="T27" s="240"/>
      <c r="U27" s="240"/>
      <c r="V27" s="36"/>
      <c r="W27" s="36"/>
      <c r="X27" s="36"/>
      <c r="Y27" s="36"/>
    </row>
    <row r="28" spans="2:30">
      <c r="B28" s="408">
        <v>44228</v>
      </c>
      <c r="C28" s="35">
        <v>6.2</v>
      </c>
      <c r="D28" s="45"/>
      <c r="E28" s="36"/>
      <c r="F28" s="36"/>
      <c r="G28" s="36"/>
      <c r="R28" s="240"/>
      <c r="S28" s="240"/>
      <c r="T28" s="240"/>
      <c r="U28" s="240"/>
      <c r="V28" s="36"/>
      <c r="W28" s="36"/>
      <c r="X28" s="36"/>
      <c r="Y28" s="36"/>
    </row>
    <row r="29" spans="2:30">
      <c r="B29" s="408">
        <v>44256</v>
      </c>
      <c r="C29" s="35">
        <v>6</v>
      </c>
      <c r="D29" s="45"/>
      <c r="E29" s="36"/>
      <c r="F29" s="36"/>
      <c r="G29" s="36"/>
      <c r="R29" s="240"/>
      <c r="S29" s="240"/>
      <c r="T29" s="240"/>
      <c r="U29" s="240"/>
      <c r="V29" s="36"/>
      <c r="W29" s="36"/>
      <c r="X29" s="36"/>
      <c r="Y29" s="36"/>
    </row>
    <row r="30" spans="2:30">
      <c r="B30" s="408">
        <v>44287</v>
      </c>
      <c r="C30" s="35">
        <v>6.1</v>
      </c>
      <c r="D30" s="45">
        <f>AVERAGE(C30:C32)</f>
        <v>5.7666666666666657</v>
      </c>
      <c r="E30" s="36"/>
      <c r="F30" s="36"/>
      <c r="G30" s="36"/>
      <c r="R30" s="240"/>
      <c r="S30" s="240"/>
      <c r="T30" s="240"/>
      <c r="U30" s="240"/>
      <c r="V30" s="36"/>
      <c r="W30" s="36"/>
      <c r="X30" s="36"/>
      <c r="Y30" s="36"/>
    </row>
    <row r="31" spans="2:30">
      <c r="B31" s="408">
        <v>44317</v>
      </c>
      <c r="C31" s="35">
        <v>5.8</v>
      </c>
      <c r="D31" s="45"/>
      <c r="E31" s="36"/>
      <c r="F31" s="36"/>
      <c r="G31" s="36"/>
      <c r="R31" s="240"/>
      <c r="S31" s="240"/>
      <c r="T31" s="240"/>
      <c r="U31" s="240"/>
      <c r="V31" s="36"/>
      <c r="W31" s="36"/>
      <c r="X31" s="36"/>
      <c r="Y31" s="36"/>
    </row>
    <row r="32" spans="2:30">
      <c r="B32" s="634">
        <v>44348</v>
      </c>
      <c r="C32" s="635">
        <v>5.4</v>
      </c>
      <c r="D32" s="636"/>
      <c r="E32" s="36" t="s">
        <v>1014</v>
      </c>
      <c r="F32" s="36"/>
      <c r="G32" s="36"/>
      <c r="R32" s="240"/>
      <c r="S32" s="240"/>
      <c r="T32" s="240"/>
      <c r="U32" s="240"/>
      <c r="V32" s="36"/>
      <c r="W32" s="36"/>
      <c r="X32" s="36"/>
      <c r="Y32" s="36"/>
    </row>
  </sheetData>
  <mergeCells count="12">
    <mergeCell ref="B1:AC1"/>
    <mergeCell ref="B2:AC6"/>
    <mergeCell ref="E9:H9"/>
    <mergeCell ref="B8:C10"/>
    <mergeCell ref="I9:L9"/>
    <mergeCell ref="Q9:T9"/>
    <mergeCell ref="U9:X9"/>
    <mergeCell ref="D8:N8"/>
    <mergeCell ref="M9:N9"/>
    <mergeCell ref="O9:P9"/>
    <mergeCell ref="O8:AC8"/>
    <mergeCell ref="Y9:AB9"/>
  </mergeCells>
  <phoneticPr fontId="53" type="noConversion"/>
  <pageMargins left="0.7" right="0.7" top="0.75" bottom="0.75" header="0.3" footer="0.3"/>
  <pageSetup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BE882-2310-4EF1-A9F8-27C11F754165}">
  <dimension ref="B1:AC45"/>
  <sheetViews>
    <sheetView zoomScale="59" zoomScaleNormal="80" workbookViewId="0">
      <selection activeCell="D25" sqref="D25"/>
    </sheetView>
  </sheetViews>
  <sheetFormatPr baseColWidth="10" defaultColWidth="8.6640625" defaultRowHeight="14"/>
  <cols>
    <col min="1" max="1" width="8.6640625" style="302"/>
    <col min="2" max="2" width="31.83203125" style="302" customWidth="1"/>
    <col min="3" max="7" width="7.6640625" style="302" customWidth="1"/>
    <col min="8" max="8" width="8.6640625" style="302"/>
    <col min="9" max="9" width="8.6640625" style="302" customWidth="1"/>
    <col min="10" max="24" width="9.1640625" style="302" bestFit="1" customWidth="1"/>
    <col min="25" max="16384" width="8.6640625" style="302"/>
  </cols>
  <sheetData>
    <row r="1" spans="2:29">
      <c r="B1" s="1372" t="s">
        <v>141</v>
      </c>
      <c r="C1" s="1372"/>
      <c r="D1" s="1372"/>
      <c r="E1" s="1372"/>
      <c r="F1" s="1372"/>
      <c r="G1" s="1372"/>
      <c r="H1" s="1372"/>
      <c r="I1" s="1372"/>
      <c r="J1" s="1372"/>
      <c r="K1" s="1372"/>
      <c r="L1" s="1372"/>
      <c r="M1" s="1372"/>
      <c r="N1" s="1372"/>
      <c r="O1" s="1372"/>
      <c r="P1" s="1372"/>
      <c r="Q1" s="1372"/>
      <c r="R1" s="1372"/>
      <c r="S1" s="1372"/>
      <c r="T1" s="1372"/>
      <c r="U1" s="1372"/>
      <c r="V1" s="1372"/>
      <c r="W1" s="1372"/>
      <c r="X1" s="1372"/>
      <c r="Y1" s="1372"/>
      <c r="Z1" s="1372"/>
      <c r="AA1" s="1372"/>
      <c r="AB1" s="1372"/>
      <c r="AC1" s="1372"/>
    </row>
    <row r="2" spans="2:29" ht="14" customHeight="1">
      <c r="B2" s="1397" t="s">
        <v>1150</v>
      </c>
      <c r="C2" s="1397"/>
      <c r="D2" s="1397"/>
      <c r="E2" s="1397"/>
      <c r="F2" s="1397"/>
      <c r="G2" s="1397"/>
      <c r="H2" s="1397"/>
      <c r="I2" s="1397"/>
      <c r="J2" s="1397"/>
      <c r="K2" s="1397"/>
      <c r="L2" s="1397"/>
      <c r="M2" s="1397"/>
      <c r="N2" s="1397"/>
      <c r="O2" s="1397"/>
      <c r="P2" s="1397"/>
      <c r="Q2" s="1397"/>
      <c r="R2" s="1397"/>
      <c r="S2" s="1397"/>
      <c r="T2" s="1397"/>
      <c r="U2" s="1397"/>
      <c r="V2" s="1397"/>
      <c r="W2" s="1397"/>
      <c r="X2" s="1397"/>
      <c r="Y2" s="1397"/>
      <c r="Z2" s="1397"/>
      <c r="AA2" s="1397"/>
      <c r="AB2" s="1397"/>
      <c r="AC2" s="1397"/>
    </row>
    <row r="3" spans="2:29" ht="59.5" customHeight="1">
      <c r="B3" s="1397"/>
      <c r="C3" s="1397"/>
      <c r="D3" s="1397"/>
      <c r="E3" s="1397"/>
      <c r="F3" s="1397"/>
      <c r="G3" s="1397"/>
      <c r="H3" s="1397"/>
      <c r="I3" s="1397"/>
      <c r="J3" s="1397"/>
      <c r="K3" s="1397"/>
      <c r="L3" s="1397"/>
      <c r="M3" s="1397"/>
      <c r="N3" s="1397"/>
      <c r="O3" s="1397"/>
      <c r="P3" s="1397"/>
      <c r="Q3" s="1397"/>
      <c r="R3" s="1397"/>
      <c r="S3" s="1397"/>
      <c r="T3" s="1397"/>
      <c r="U3" s="1397"/>
      <c r="V3" s="1397"/>
      <c r="W3" s="1397"/>
      <c r="X3" s="1397"/>
      <c r="Y3" s="1397"/>
      <c r="Z3" s="1397"/>
      <c r="AA3" s="1397"/>
      <c r="AB3" s="1397"/>
      <c r="AC3" s="1397"/>
    </row>
    <row r="4" spans="2:29" ht="60.5" customHeight="1">
      <c r="B4" s="1397"/>
      <c r="C4" s="1397"/>
      <c r="D4" s="1397"/>
      <c r="E4" s="1397"/>
      <c r="F4" s="1397"/>
      <c r="G4" s="1397"/>
      <c r="H4" s="1397"/>
      <c r="I4" s="1397"/>
      <c r="J4" s="1397"/>
      <c r="K4" s="1397"/>
      <c r="L4" s="1397"/>
      <c r="M4" s="1397"/>
      <c r="N4" s="1397"/>
      <c r="O4" s="1397"/>
      <c r="P4" s="1397"/>
      <c r="Q4" s="1397"/>
      <c r="R4" s="1397"/>
      <c r="S4" s="1397"/>
      <c r="T4" s="1397"/>
      <c r="U4" s="1397"/>
      <c r="V4" s="1397"/>
      <c r="W4" s="1397"/>
      <c r="X4" s="1397"/>
      <c r="Y4" s="1397"/>
      <c r="Z4" s="1397"/>
      <c r="AA4" s="1397"/>
      <c r="AB4" s="1397"/>
      <c r="AC4" s="1397"/>
    </row>
    <row r="5" spans="2:29" ht="15">
      <c r="B5" s="176" t="s">
        <v>399</v>
      </c>
    </row>
    <row r="6" spans="2:29" ht="14.5" customHeight="1">
      <c r="B6" s="1448" t="s">
        <v>292</v>
      </c>
      <c r="C6" s="1462"/>
      <c r="D6" s="1402" t="s">
        <v>261</v>
      </c>
      <c r="E6" s="1403"/>
      <c r="F6" s="1403"/>
      <c r="G6" s="1403"/>
      <c r="H6" s="1403"/>
      <c r="I6" s="1403"/>
      <c r="J6" s="1403"/>
      <c r="K6" s="1403"/>
      <c r="L6" s="1403"/>
      <c r="M6" s="1387"/>
      <c r="N6" s="1425"/>
      <c r="O6" s="1388" t="s">
        <v>143</v>
      </c>
      <c r="P6" s="1437"/>
      <c r="Q6" s="1437"/>
      <c r="R6" s="1437"/>
      <c r="S6" s="1437"/>
      <c r="T6" s="1437"/>
      <c r="U6" s="1437"/>
      <c r="V6" s="1437"/>
      <c r="W6" s="1437"/>
      <c r="X6" s="1437"/>
      <c r="Y6" s="1399"/>
      <c r="Z6" s="1399"/>
      <c r="AA6" s="1399"/>
      <c r="AB6" s="1399"/>
      <c r="AC6" s="1400"/>
    </row>
    <row r="7" spans="2:29">
      <c r="B7" s="1392"/>
      <c r="C7" s="1449"/>
      <c r="D7" s="838">
        <v>2018</v>
      </c>
      <c r="E7" s="1373">
        <v>2019</v>
      </c>
      <c r="F7" s="1374"/>
      <c r="G7" s="1374"/>
      <c r="H7" s="1383"/>
      <c r="I7" s="1426">
        <v>2020</v>
      </c>
      <c r="J7" s="1374"/>
      <c r="K7" s="1374"/>
      <c r="L7" s="1374"/>
      <c r="M7" s="1373">
        <v>2021</v>
      </c>
      <c r="N7" s="1383"/>
      <c r="O7" s="1438">
        <v>2021</v>
      </c>
      <c r="P7" s="1439"/>
      <c r="Q7" s="1438">
        <v>2022</v>
      </c>
      <c r="R7" s="1442"/>
      <c r="S7" s="1442"/>
      <c r="T7" s="1442"/>
      <c r="U7" s="1438">
        <v>2023</v>
      </c>
      <c r="V7" s="1442"/>
      <c r="W7" s="1442"/>
      <c r="X7" s="1442"/>
      <c r="Y7" s="1396">
        <v>2024</v>
      </c>
      <c r="Z7" s="1401"/>
      <c r="AA7" s="1401"/>
      <c r="AB7" s="1401"/>
      <c r="AC7" s="475">
        <v>2025</v>
      </c>
    </row>
    <row r="8" spans="2:29">
      <c r="B8" s="1392"/>
      <c r="C8" s="1431"/>
      <c r="D8" s="224" t="s">
        <v>138</v>
      </c>
      <c r="E8" s="224" t="s">
        <v>135</v>
      </c>
      <c r="F8" s="200" t="s">
        <v>136</v>
      </c>
      <c r="G8" s="200" t="s">
        <v>137</v>
      </c>
      <c r="H8" s="208" t="s">
        <v>138</v>
      </c>
      <c r="I8" s="201" t="s">
        <v>135</v>
      </c>
      <c r="J8" s="201" t="s">
        <v>136</v>
      </c>
      <c r="K8" s="201" t="s">
        <v>137</v>
      </c>
      <c r="L8" s="201" t="s">
        <v>138</v>
      </c>
      <c r="M8" s="216" t="s">
        <v>135</v>
      </c>
      <c r="N8" s="208" t="s">
        <v>136</v>
      </c>
      <c r="O8" s="891" t="s">
        <v>137</v>
      </c>
      <c r="P8" s="893" t="s">
        <v>138</v>
      </c>
      <c r="Q8" s="891" t="s">
        <v>135</v>
      </c>
      <c r="R8" s="892" t="s">
        <v>136</v>
      </c>
      <c r="S8" s="892" t="s">
        <v>137</v>
      </c>
      <c r="T8" s="892" t="s">
        <v>138</v>
      </c>
      <c r="U8" s="891" t="s">
        <v>135</v>
      </c>
      <c r="V8" s="892" t="s">
        <v>136</v>
      </c>
      <c r="W8" s="892" t="s">
        <v>137</v>
      </c>
      <c r="X8" s="892" t="s">
        <v>138</v>
      </c>
      <c r="Y8" s="64" t="s">
        <v>135</v>
      </c>
      <c r="Z8" s="698" t="s">
        <v>136</v>
      </c>
      <c r="AA8" s="65" t="s">
        <v>137</v>
      </c>
      <c r="AB8" s="65" t="s">
        <v>138</v>
      </c>
      <c r="AC8" s="67" t="s">
        <v>135</v>
      </c>
    </row>
    <row r="9" spans="2:29">
      <c r="B9" s="321" t="s">
        <v>415</v>
      </c>
      <c r="C9" s="322" t="s">
        <v>211</v>
      </c>
      <c r="D9" s="704">
        <f>'Haver Pivoted'!GO13</f>
        <v>589.5</v>
      </c>
      <c r="E9" s="352">
        <f>'Haver Pivoted'!GP13</f>
        <v>598.79999999999995</v>
      </c>
      <c r="F9" s="352">
        <f>'Haver Pivoted'!GQ13</f>
        <v>614.5</v>
      </c>
      <c r="G9" s="352">
        <f>'Haver Pivoted'!GR13</f>
        <v>622.4</v>
      </c>
      <c r="H9" s="352">
        <f>'Haver Pivoted'!GS13</f>
        <v>620.5</v>
      </c>
      <c r="I9" s="352">
        <f>'Haver Pivoted'!GT13</f>
        <v>606.20000000000005</v>
      </c>
      <c r="J9" s="352">
        <f>'Haver Pivoted'!GU13</f>
        <v>654.20000000000005</v>
      </c>
      <c r="K9" s="352">
        <f>'Haver Pivoted'!GV13</f>
        <v>690.4</v>
      </c>
      <c r="L9" s="352">
        <f>'Haver Pivoted'!GW13</f>
        <v>678.3</v>
      </c>
      <c r="M9" s="352">
        <f>'Haver Pivoted'!GX13</f>
        <v>695.9</v>
      </c>
      <c r="N9" s="352">
        <f>'Haver Pivoted'!GY13</f>
        <v>735.5</v>
      </c>
      <c r="O9" s="962"/>
      <c r="P9" s="963"/>
      <c r="Q9" s="963"/>
      <c r="R9" s="963"/>
      <c r="S9" s="894"/>
      <c r="T9" s="894"/>
      <c r="U9" s="894"/>
      <c r="V9" s="894"/>
      <c r="W9" s="894"/>
      <c r="X9" s="894"/>
      <c r="Y9" s="894"/>
      <c r="Z9" s="894"/>
      <c r="AA9" s="894"/>
      <c r="AB9" s="894"/>
      <c r="AC9" s="895"/>
    </row>
    <row r="10" spans="2:29">
      <c r="B10" s="46" t="s">
        <v>416</v>
      </c>
      <c r="C10" s="35" t="s">
        <v>236</v>
      </c>
      <c r="D10" s="210">
        <f>'Haver Pivoted'!GO40</f>
        <v>390.86599999999999</v>
      </c>
      <c r="E10" s="211">
        <f>'Haver Pivoted'!GP40</f>
        <v>408.75599999999997</v>
      </c>
      <c r="F10" s="211">
        <f>'Haver Pivoted'!GQ40</f>
        <v>413.34399999999999</v>
      </c>
      <c r="G10" s="211">
        <f>'Haver Pivoted'!GR40</f>
        <v>418.529</v>
      </c>
      <c r="H10" s="211">
        <f>'Haver Pivoted'!GS40</f>
        <v>413.80599999999998</v>
      </c>
      <c r="I10" s="211">
        <f>'Haver Pivoted'!GT40</f>
        <v>428.11799999999999</v>
      </c>
      <c r="J10" s="211">
        <f>'Haver Pivoted'!GU40</f>
        <v>502.49</v>
      </c>
      <c r="K10" s="211">
        <f>'Haver Pivoted'!GV40</f>
        <v>481.71699999999998</v>
      </c>
      <c r="L10" s="211">
        <f>'Haver Pivoted'!GW40</f>
        <v>507.83699999999999</v>
      </c>
      <c r="M10" s="211">
        <f>'Haver Pivoted'!GX40</f>
        <v>511.34500000000003</v>
      </c>
      <c r="N10" s="211">
        <f>'Haver Pivoted'!GY40</f>
        <v>520.72900000000004</v>
      </c>
      <c r="O10" s="222"/>
      <c r="P10" s="213"/>
      <c r="Q10" s="213"/>
      <c r="R10" s="213"/>
      <c r="S10" s="892"/>
      <c r="T10" s="892"/>
      <c r="U10" s="892"/>
      <c r="V10" s="892"/>
      <c r="W10" s="892"/>
      <c r="X10" s="892"/>
      <c r="Y10" s="892"/>
      <c r="Z10" s="892"/>
      <c r="AA10" s="892"/>
      <c r="AB10" s="892"/>
      <c r="AC10" s="893"/>
    </row>
    <row r="11" spans="2:29" ht="15">
      <c r="B11" s="61" t="s">
        <v>523</v>
      </c>
      <c r="C11" s="35"/>
      <c r="D11" s="238">
        <f t="shared" ref="D11:N11" si="0">D10/D9</f>
        <v>0.6630466497031382</v>
      </c>
      <c r="E11" s="705">
        <f t="shared" si="0"/>
        <v>0.68262525050100198</v>
      </c>
      <c r="F11" s="705">
        <f t="shared" si="0"/>
        <v>0.6726509357200976</v>
      </c>
      <c r="G11" s="705">
        <f t="shared" si="0"/>
        <v>0.67244376606683809</v>
      </c>
      <c r="H11" s="705">
        <f t="shared" si="0"/>
        <v>0.66689121676067686</v>
      </c>
      <c r="I11" s="705">
        <f t="shared" si="0"/>
        <v>0.70623226657868687</v>
      </c>
      <c r="J11" s="705">
        <f t="shared" si="0"/>
        <v>0.76809844084377865</v>
      </c>
      <c r="K11" s="705">
        <f t="shared" si="0"/>
        <v>0.69773609501738121</v>
      </c>
      <c r="L11" s="705">
        <f t="shared" si="0"/>
        <v>0.7486908447589562</v>
      </c>
      <c r="M11" s="705">
        <f t="shared" si="0"/>
        <v>0.7347966661876707</v>
      </c>
      <c r="N11" s="705">
        <f t="shared" si="0"/>
        <v>0.70799320190346704</v>
      </c>
      <c r="O11" s="1048">
        <f>AVERAGE($L$11:$M$11)</f>
        <v>0.7417437554733135</v>
      </c>
      <c r="P11" s="1049">
        <f t="shared" ref="P11:R11" si="1">AVERAGE($L$11:$M$11)</f>
        <v>0.7417437554733135</v>
      </c>
      <c r="Q11" s="1049">
        <f t="shared" si="1"/>
        <v>0.7417437554733135</v>
      </c>
      <c r="R11" s="1049">
        <f t="shared" si="1"/>
        <v>0.7417437554733135</v>
      </c>
      <c r="S11" s="1049">
        <f>AVERAGE(D11:G11)</f>
        <v>0.67269165049776891</v>
      </c>
      <c r="T11" s="1049">
        <f>AVERAGE(D11:G11)</f>
        <v>0.67269165049776891</v>
      </c>
      <c r="U11" s="1049">
        <f t="shared" ref="U11:Y12" si="2">T11</f>
        <v>0.67269165049776891</v>
      </c>
      <c r="V11" s="1049">
        <f t="shared" si="2"/>
        <v>0.67269165049776891</v>
      </c>
      <c r="W11" s="1049">
        <f t="shared" si="2"/>
        <v>0.67269165049776891</v>
      </c>
      <c r="X11" s="1049">
        <f t="shared" si="2"/>
        <v>0.67269165049776891</v>
      </c>
      <c r="Y11" s="1049">
        <f t="shared" si="2"/>
        <v>0.67269165049776891</v>
      </c>
      <c r="Z11" s="1049">
        <f t="shared" ref="Z11:Z12" si="3">Y11</f>
        <v>0.67269165049776891</v>
      </c>
      <c r="AA11" s="1049">
        <f t="shared" ref="AA11:AA12" si="4">Z11</f>
        <v>0.67269165049776891</v>
      </c>
      <c r="AB11" s="1049">
        <f t="shared" ref="AB11:AB12" si="5">AA11</f>
        <v>0.67269165049776891</v>
      </c>
      <c r="AC11" s="1064">
        <f t="shared" ref="AC11:AC12" si="6">AB11</f>
        <v>0.67269165049776891</v>
      </c>
    </row>
    <row r="12" spans="2:29">
      <c r="B12" s="228" t="s">
        <v>524</v>
      </c>
      <c r="C12" s="47"/>
      <c r="D12" s="706">
        <f t="shared" ref="D12:M12" si="7">D11</f>
        <v>0.6630466497031382</v>
      </c>
      <c r="E12" s="253">
        <f t="shared" si="7"/>
        <v>0.68262525050100198</v>
      </c>
      <c r="F12" s="253">
        <f t="shared" si="7"/>
        <v>0.6726509357200976</v>
      </c>
      <c r="G12" s="253">
        <f t="shared" si="7"/>
        <v>0.67244376606683809</v>
      </c>
      <c r="H12" s="253">
        <f t="shared" si="7"/>
        <v>0.66689121676067686</v>
      </c>
      <c r="I12" s="253">
        <f t="shared" si="7"/>
        <v>0.70623226657868687</v>
      </c>
      <c r="J12" s="253">
        <f t="shared" si="7"/>
        <v>0.76809844084377865</v>
      </c>
      <c r="K12" s="253">
        <f t="shared" si="7"/>
        <v>0.69773609501738121</v>
      </c>
      <c r="L12" s="253">
        <f t="shared" si="7"/>
        <v>0.7486908447589562</v>
      </c>
      <c r="M12" s="253">
        <f t="shared" si="7"/>
        <v>0.7347966661876707</v>
      </c>
      <c r="N12" s="1004">
        <f>N11+F44</f>
        <v>0.71742271763848642</v>
      </c>
      <c r="O12" s="483">
        <f>N12</f>
        <v>0.71742271763848642</v>
      </c>
      <c r="P12" s="484">
        <f>O12</f>
        <v>0.71742271763848642</v>
      </c>
      <c r="Q12" s="484">
        <f>Q11+G44</f>
        <v>0.74964169124037128</v>
      </c>
      <c r="R12" s="484">
        <f>Q12</f>
        <v>0.74964169124037128</v>
      </c>
      <c r="S12" s="484">
        <f>S11+G44</f>
        <v>0.68058958626482668</v>
      </c>
      <c r="T12" s="484">
        <f>T11+H44</f>
        <v>0.67739645575313245</v>
      </c>
      <c r="U12" s="484">
        <f t="shared" si="2"/>
        <v>0.67739645575313245</v>
      </c>
      <c r="V12" s="484">
        <f t="shared" si="2"/>
        <v>0.67739645575313245</v>
      </c>
      <c r="W12" s="484">
        <f t="shared" si="2"/>
        <v>0.67739645575313245</v>
      </c>
      <c r="X12" s="484">
        <f t="shared" si="2"/>
        <v>0.67739645575313245</v>
      </c>
      <c r="Y12" s="484">
        <f t="shared" si="2"/>
        <v>0.67739645575313245</v>
      </c>
      <c r="Z12" s="484">
        <f t="shared" si="3"/>
        <v>0.67739645575313245</v>
      </c>
      <c r="AA12" s="484">
        <f t="shared" si="4"/>
        <v>0.67739645575313245</v>
      </c>
      <c r="AB12" s="484">
        <f t="shared" si="5"/>
        <v>0.67739645575313245</v>
      </c>
      <c r="AC12" s="1065">
        <f t="shared" si="6"/>
        <v>0.67739645575313245</v>
      </c>
    </row>
    <row r="14" spans="2:29">
      <c r="B14" s="57" t="s">
        <v>400</v>
      </c>
    </row>
    <row r="15" spans="2:29" ht="25" customHeight="1">
      <c r="B15" s="478" t="s">
        <v>422</v>
      </c>
      <c r="C15" s="831">
        <v>2020</v>
      </c>
      <c r="D15" s="832">
        <v>2021</v>
      </c>
      <c r="E15" s="832">
        <v>2022</v>
      </c>
      <c r="F15" s="832">
        <v>2023</v>
      </c>
      <c r="G15" s="833">
        <v>2024</v>
      </c>
      <c r="H15" s="477"/>
      <c r="I15" s="477"/>
      <c r="J15" s="477"/>
    </row>
    <row r="16" spans="2:29" ht="31.5" customHeight="1">
      <c r="B16" s="54" t="s">
        <v>417</v>
      </c>
      <c r="C16" s="828">
        <v>458.46800000000002</v>
      </c>
      <c r="D16" s="829">
        <v>519.15800000000002</v>
      </c>
      <c r="E16" s="829">
        <v>545.428</v>
      </c>
      <c r="F16" s="829">
        <v>512.61800000000005</v>
      </c>
      <c r="G16" s="830">
        <v>601.92600000000004</v>
      </c>
    </row>
    <row r="17" spans="2:25">
      <c r="B17" s="46" t="s">
        <v>418</v>
      </c>
      <c r="C17" s="238">
        <f>AVERAGE(H11:K11)</f>
        <v>0.70973950480013093</v>
      </c>
      <c r="D17" s="476">
        <f>AVERAGE(L11:O11)</f>
        <v>0.73330611708085192</v>
      </c>
      <c r="E17" s="476">
        <f>AVERAGE(P11:S11)</f>
        <v>0.7244807292294273</v>
      </c>
      <c r="F17" s="476">
        <f>AVERAGE(T11:W11)</f>
        <v>0.67269165049776891</v>
      </c>
      <c r="G17" s="237">
        <f>F17</f>
        <v>0.67269165049776891</v>
      </c>
    </row>
    <row r="18" spans="2:25">
      <c r="B18" s="46" t="s">
        <v>1073</v>
      </c>
      <c r="C18" s="198">
        <f>C16/C17</f>
        <v>645.96657914527214</v>
      </c>
      <c r="D18" s="389">
        <f>D16/D17</f>
        <v>707.96900217697134</v>
      </c>
      <c r="E18" s="389">
        <f>E16/E17</f>
        <v>752.8537033416037</v>
      </c>
      <c r="F18" s="389">
        <f>F16/F17</f>
        <v>762.04008124774577</v>
      </c>
      <c r="G18" s="379">
        <f>G16/G17</f>
        <v>894.80224640010817</v>
      </c>
    </row>
    <row r="19" spans="2:25" ht="32" customHeight="1">
      <c r="B19" s="203" t="s">
        <v>419</v>
      </c>
      <c r="C19" s="199"/>
      <c r="D19" s="253">
        <f>D18/C18-1</f>
        <v>9.5983948757440984E-2</v>
      </c>
      <c r="E19" s="253">
        <f>E18/D18-1</f>
        <v>6.3399246332274561E-2</v>
      </c>
      <c r="F19" s="253">
        <f>F18/E18-1</f>
        <v>1.2202075735787243E-2</v>
      </c>
      <c r="G19" s="227">
        <f>G18/F18-1</f>
        <v>0.17421939924076035</v>
      </c>
      <c r="I19" s="234"/>
      <c r="J19" s="234"/>
      <c r="K19" s="234"/>
      <c r="L19" s="234"/>
    </row>
    <row r="21" spans="2:25">
      <c r="B21" s="57" t="s">
        <v>401</v>
      </c>
    </row>
    <row r="22" spans="2:25">
      <c r="B22" s="1448" t="s">
        <v>420</v>
      </c>
      <c r="C22" s="1430"/>
      <c r="D22" s="1402" t="s">
        <v>261</v>
      </c>
      <c r="E22" s="1403"/>
      <c r="F22" s="1403"/>
      <c r="G22" s="1403"/>
      <c r="H22" s="1403"/>
      <c r="I22" s="1403"/>
      <c r="J22" s="1404"/>
      <c r="K22" s="1388" t="s">
        <v>143</v>
      </c>
      <c r="L22" s="1437"/>
      <c r="M22" s="1437"/>
      <c r="N22" s="1437"/>
      <c r="O22" s="1437"/>
      <c r="P22" s="1437"/>
      <c r="Q22" s="1437"/>
      <c r="R22" s="1437"/>
      <c r="S22" s="1437"/>
      <c r="T22" s="1437"/>
      <c r="U22" s="1399"/>
      <c r="V22" s="1399"/>
      <c r="W22" s="1399"/>
      <c r="X22" s="1399"/>
      <c r="Y22" s="1400"/>
    </row>
    <row r="23" spans="2:25">
      <c r="B23" s="1392"/>
      <c r="C23" s="1449"/>
      <c r="D23" s="964"/>
      <c r="E23" s="1374">
        <v>2020</v>
      </c>
      <c r="F23" s="1374"/>
      <c r="G23" s="1374"/>
      <c r="H23" s="1374"/>
      <c r="I23" s="1373">
        <v>2021</v>
      </c>
      <c r="J23" s="1383"/>
      <c r="K23" s="1438">
        <v>2021</v>
      </c>
      <c r="L23" s="1439"/>
      <c r="M23" s="1438">
        <v>2022</v>
      </c>
      <c r="N23" s="1442"/>
      <c r="O23" s="1442"/>
      <c r="P23" s="1442"/>
      <c r="Q23" s="1438">
        <v>2023</v>
      </c>
      <c r="R23" s="1442"/>
      <c r="S23" s="1442"/>
      <c r="T23" s="1442"/>
      <c r="U23" s="1396">
        <v>2024</v>
      </c>
      <c r="V23" s="1401"/>
      <c r="W23" s="1401"/>
      <c r="X23" s="1401"/>
      <c r="Y23" s="475">
        <v>2025</v>
      </c>
    </row>
    <row r="24" spans="2:25">
      <c r="B24" s="1394"/>
      <c r="C24" s="1432"/>
      <c r="D24" s="39" t="s">
        <v>138</v>
      </c>
      <c r="E24" s="41" t="s">
        <v>135</v>
      </c>
      <c r="F24" s="41" t="s">
        <v>136</v>
      </c>
      <c r="G24" s="41" t="s">
        <v>137</v>
      </c>
      <c r="H24" s="41" t="s">
        <v>138</v>
      </c>
      <c r="I24" s="40" t="s">
        <v>135</v>
      </c>
      <c r="J24" s="42" t="s">
        <v>136</v>
      </c>
      <c r="K24" s="891" t="s">
        <v>137</v>
      </c>
      <c r="L24" s="893" t="s">
        <v>138</v>
      </c>
      <c r="M24" s="891" t="s">
        <v>135</v>
      </c>
      <c r="N24" s="892" t="s">
        <v>136</v>
      </c>
      <c r="O24" s="892" t="s">
        <v>137</v>
      </c>
      <c r="P24" s="892" t="s">
        <v>138</v>
      </c>
      <c r="Q24" s="891" t="s">
        <v>135</v>
      </c>
      <c r="R24" s="892" t="s">
        <v>136</v>
      </c>
      <c r="S24" s="892" t="s">
        <v>137</v>
      </c>
      <c r="T24" s="892" t="s">
        <v>138</v>
      </c>
      <c r="U24" s="1083" t="s">
        <v>135</v>
      </c>
      <c r="V24" s="577" t="s">
        <v>136</v>
      </c>
      <c r="W24" s="1084" t="s">
        <v>137</v>
      </c>
      <c r="X24" s="1084" t="s">
        <v>138</v>
      </c>
      <c r="Y24" s="82" t="s">
        <v>135</v>
      </c>
    </row>
    <row r="25" spans="2:25" ht="19.5" customHeight="1">
      <c r="B25" s="1111" t="s">
        <v>1178</v>
      </c>
      <c r="C25" s="1112"/>
      <c r="D25" s="1113">
        <f t="shared" ref="D25:J25" si="8">H9</f>
        <v>620.5</v>
      </c>
      <c r="E25" s="1114">
        <f t="shared" si="8"/>
        <v>606.20000000000005</v>
      </c>
      <c r="F25" s="1114">
        <f t="shared" si="8"/>
        <v>654.20000000000005</v>
      </c>
      <c r="G25" s="1114">
        <f t="shared" si="8"/>
        <v>690.4</v>
      </c>
      <c r="H25" s="1114">
        <f t="shared" si="8"/>
        <v>678.3</v>
      </c>
      <c r="I25" s="1114">
        <f t="shared" si="8"/>
        <v>695.9</v>
      </c>
      <c r="J25" s="1115">
        <f t="shared" si="8"/>
        <v>735.5</v>
      </c>
      <c r="K25" s="1116">
        <f>J25*(1+$D$19)^0.25</f>
        <v>752.5471675758439</v>
      </c>
      <c r="L25" s="1117">
        <f>K25*(1+$E$19)^0.25</f>
        <v>764.20137108930442</v>
      </c>
      <c r="M25" s="1117">
        <f>L25*(1+$E$19)^0.25</f>
        <v>776.03605559503376</v>
      </c>
      <c r="N25" s="1117">
        <f>M25*(1+$E$19)^0.25</f>
        <v>788.0540160835717</v>
      </c>
      <c r="O25" s="1117">
        <f>N25*(1+$E$19)^0.25</f>
        <v>800.25809082964031</v>
      </c>
      <c r="P25" s="1117">
        <f>O25*(1+$F$19)^0.25</f>
        <v>802.68820173487552</v>
      </c>
      <c r="Q25" s="1117">
        <f>P25*(1+$F$19)^0.25</f>
        <v>805.12569205817522</v>
      </c>
      <c r="R25" s="1117">
        <f>Q25*(1+$F$19)^0.25</f>
        <v>807.57058420831549</v>
      </c>
      <c r="S25" s="1117">
        <f>R25*(1+$F$19)^0.25</f>
        <v>810.02290066212015</v>
      </c>
      <c r="T25" s="1117">
        <f t="shared" ref="T25:Y25" si="9">S25*(1+$G$19)^0.25</f>
        <v>843.20778980437865</v>
      </c>
      <c r="U25" s="1117">
        <f t="shared" si="9"/>
        <v>877.75219219803273</v>
      </c>
      <c r="V25" s="1117">
        <f t="shared" si="9"/>
        <v>913.71180416536913</v>
      </c>
      <c r="W25" s="1117">
        <f t="shared" si="9"/>
        <v>951.14460378673266</v>
      </c>
      <c r="X25" s="1117">
        <f t="shared" si="9"/>
        <v>990.11094437922668</v>
      </c>
      <c r="Y25" s="1118">
        <f t="shared" si="9"/>
        <v>1030.6736518050343</v>
      </c>
    </row>
    <row r="26" spans="2:25" ht="19" customHeight="1">
      <c r="B26" s="188" t="s">
        <v>140</v>
      </c>
      <c r="C26" s="189"/>
      <c r="D26" s="221">
        <f>D25*H12</f>
        <v>413.80599999999998</v>
      </c>
      <c r="E26" s="221">
        <f t="shared" ref="E26:Y26" si="10">E25*I12</f>
        <v>428.11799999999999</v>
      </c>
      <c r="F26" s="221">
        <f t="shared" si="10"/>
        <v>502.49</v>
      </c>
      <c r="G26" s="221">
        <f t="shared" si="10"/>
        <v>481.71699999999998</v>
      </c>
      <c r="H26" s="221">
        <f t="shared" si="10"/>
        <v>507.83699999999993</v>
      </c>
      <c r="I26" s="221">
        <f t="shared" si="10"/>
        <v>511.34500000000003</v>
      </c>
      <c r="J26" s="221">
        <f t="shared" si="10"/>
        <v>527.66440882310678</v>
      </c>
      <c r="K26" s="480">
        <f t="shared" si="10"/>
        <v>539.89443411340733</v>
      </c>
      <c r="L26" s="481">
        <f t="shared" si="10"/>
        <v>548.25542446994621</v>
      </c>
      <c r="M26" s="481">
        <f t="shared" si="10"/>
        <v>581.74898117976795</v>
      </c>
      <c r="N26" s="481">
        <f t="shared" si="10"/>
        <v>590.75814540565545</v>
      </c>
      <c r="O26" s="481">
        <f t="shared" si="10"/>
        <v>544.64732294282499</v>
      </c>
      <c r="P26" s="481">
        <f t="shared" si="10"/>
        <v>543.73814293006001</v>
      </c>
      <c r="Q26" s="481">
        <f t="shared" si="10"/>
        <v>545.38929023599587</v>
      </c>
      <c r="R26" s="481">
        <f t="shared" si="10"/>
        <v>547.04545151319951</v>
      </c>
      <c r="S26" s="481">
        <f t="shared" si="10"/>
        <v>548.70664198739189</v>
      </c>
      <c r="T26" s="481">
        <f t="shared" si="10"/>
        <v>571.1859682769184</v>
      </c>
      <c r="U26" s="481">
        <f t="shared" si="10"/>
        <v>594.58622402448964</v>
      </c>
      <c r="V26" s="481">
        <f t="shared" si="10"/>
        <v>618.94513772142125</v>
      </c>
      <c r="W26" s="481">
        <f t="shared" si="10"/>
        <v>644.30198351385013</v>
      </c>
      <c r="X26" s="481">
        <f t="shared" si="10"/>
        <v>670.69764452487505</v>
      </c>
      <c r="Y26" s="482">
        <f t="shared" si="10"/>
        <v>698.17467877086835</v>
      </c>
    </row>
    <row r="27" spans="2:25" ht="19" customHeight="1">
      <c r="B27" s="228" t="s">
        <v>421</v>
      </c>
      <c r="C27" s="47"/>
      <c r="D27" s="1105">
        <f t="shared" ref="D27:Y27" si="11">D25-D26</f>
        <v>206.69400000000002</v>
      </c>
      <c r="E27" s="1106">
        <f t="shared" si="11"/>
        <v>178.08200000000005</v>
      </c>
      <c r="F27" s="1106">
        <f t="shared" si="11"/>
        <v>151.71000000000004</v>
      </c>
      <c r="G27" s="1106">
        <f t="shared" si="11"/>
        <v>208.68299999999999</v>
      </c>
      <c r="H27" s="1106">
        <f t="shared" si="11"/>
        <v>170.46300000000002</v>
      </c>
      <c r="I27" s="1107">
        <f t="shared" si="11"/>
        <v>184.55499999999995</v>
      </c>
      <c r="J27" s="1107">
        <f t="shared" si="11"/>
        <v>207.83559117689322</v>
      </c>
      <c r="K27" s="1108">
        <f t="shared" si="11"/>
        <v>212.65273346243657</v>
      </c>
      <c r="L27" s="1109">
        <f t="shared" si="11"/>
        <v>215.94594661935821</v>
      </c>
      <c r="M27" s="1109">
        <f t="shared" si="11"/>
        <v>194.28707441526581</v>
      </c>
      <c r="N27" s="1109">
        <f t="shared" si="11"/>
        <v>197.29587067791624</v>
      </c>
      <c r="O27" s="1109">
        <f t="shared" si="11"/>
        <v>255.61076788681532</v>
      </c>
      <c r="P27" s="1109">
        <f t="shared" si="11"/>
        <v>258.95005880481551</v>
      </c>
      <c r="Q27" s="1109">
        <f t="shared" si="11"/>
        <v>259.73640182217935</v>
      </c>
      <c r="R27" s="1109">
        <f t="shared" si="11"/>
        <v>260.52513269511599</v>
      </c>
      <c r="S27" s="1109">
        <f t="shared" si="11"/>
        <v>261.31625867472826</v>
      </c>
      <c r="T27" s="1109">
        <f t="shared" si="11"/>
        <v>272.02182152746025</v>
      </c>
      <c r="U27" s="1109">
        <f t="shared" si="11"/>
        <v>283.16596817354309</v>
      </c>
      <c r="V27" s="1109">
        <f t="shared" si="11"/>
        <v>294.76666644394788</v>
      </c>
      <c r="W27" s="1109">
        <f t="shared" si="11"/>
        <v>306.84262027288253</v>
      </c>
      <c r="X27" s="1109">
        <f t="shared" si="11"/>
        <v>319.41329985435164</v>
      </c>
      <c r="Y27" s="1110">
        <f t="shared" si="11"/>
        <v>332.49897303416594</v>
      </c>
    </row>
    <row r="28" spans="2:25">
      <c r="D28" s="235"/>
      <c r="E28" s="235"/>
      <c r="F28" s="235"/>
      <c r="G28" s="235"/>
      <c r="H28" s="235"/>
      <c r="I28" s="323"/>
      <c r="J28" s="235"/>
      <c r="K28" s="235"/>
      <c r="L28" s="235"/>
      <c r="M28" s="235"/>
      <c r="N28" s="235"/>
      <c r="O28" s="235"/>
      <c r="P28" s="235"/>
      <c r="Q28" s="235"/>
      <c r="R28" s="235"/>
      <c r="S28" s="235"/>
    </row>
    <row r="29" spans="2:25">
      <c r="D29" s="235"/>
      <c r="E29" s="235"/>
      <c r="F29" s="235"/>
      <c r="G29" s="235"/>
      <c r="H29" s="235"/>
      <c r="I29" s="323"/>
      <c r="J29" s="235"/>
      <c r="K29" s="235"/>
      <c r="L29" s="235"/>
      <c r="M29" s="235"/>
      <c r="N29" s="235"/>
      <c r="O29" s="235"/>
      <c r="P29" s="235"/>
      <c r="Q29" s="235"/>
      <c r="R29" s="235"/>
      <c r="S29" s="235"/>
    </row>
    <row r="32" spans="2:25">
      <c r="B32" s="493" t="s">
        <v>525</v>
      </c>
      <c r="C32" s="494"/>
      <c r="D32" s="494"/>
      <c r="E32" s="495"/>
      <c r="F32" s="496">
        <v>2021</v>
      </c>
      <c r="G32" s="496">
        <v>2022</v>
      </c>
      <c r="H32" s="496">
        <v>2023</v>
      </c>
      <c r="I32" s="496">
        <v>2024</v>
      </c>
      <c r="J32" s="496">
        <v>2025</v>
      </c>
      <c r="K32" s="496">
        <v>2025</v>
      </c>
      <c r="L32" s="496">
        <v>2027</v>
      </c>
      <c r="M32" s="496">
        <v>2028</v>
      </c>
      <c r="N32" s="496">
        <v>2029</v>
      </c>
      <c r="O32" s="496">
        <v>2030</v>
      </c>
      <c r="P32" s="497">
        <v>2031</v>
      </c>
    </row>
    <row r="33" spans="2:17">
      <c r="B33" s="1450" t="s">
        <v>664</v>
      </c>
      <c r="C33" s="1451"/>
      <c r="D33" s="1451"/>
      <c r="E33" s="1452"/>
      <c r="F33" s="48">
        <v>287</v>
      </c>
      <c r="G33" s="48">
        <v>534</v>
      </c>
      <c r="H33" s="48">
        <v>247</v>
      </c>
      <c r="I33" s="48">
        <v>63</v>
      </c>
      <c r="J33" s="48"/>
      <c r="K33" s="48"/>
      <c r="L33" s="48"/>
      <c r="M33" s="48"/>
      <c r="N33" s="48"/>
      <c r="O33" s="48"/>
      <c r="P33" s="379"/>
    </row>
    <row r="34" spans="2:17">
      <c r="B34" s="1450" t="s">
        <v>665</v>
      </c>
      <c r="C34" s="1451"/>
      <c r="D34" s="1451"/>
      <c r="E34" s="1452"/>
      <c r="F34" s="48">
        <v>0</v>
      </c>
      <c r="G34" s="48">
        <v>0</v>
      </c>
      <c r="H34" s="48">
        <v>756</v>
      </c>
      <c r="I34" s="48">
        <v>1249</v>
      </c>
      <c r="J34" s="48">
        <v>1417</v>
      </c>
      <c r="K34" s="48">
        <v>1522</v>
      </c>
      <c r="L34" s="48">
        <v>1107</v>
      </c>
      <c r="M34" s="48"/>
      <c r="N34" s="48"/>
      <c r="O34" s="48"/>
      <c r="P34" s="379"/>
    </row>
    <row r="35" spans="2:17">
      <c r="B35" s="1450" t="s">
        <v>666</v>
      </c>
      <c r="C35" s="1451"/>
      <c r="D35" s="1451"/>
      <c r="E35" s="1452"/>
      <c r="F35" s="48">
        <v>0</v>
      </c>
      <c r="G35" s="48">
        <v>5</v>
      </c>
      <c r="H35" s="48">
        <v>77</v>
      </c>
      <c r="I35" s="48">
        <v>307</v>
      </c>
      <c r="J35" s="48">
        <v>332</v>
      </c>
      <c r="K35" s="48">
        <v>270</v>
      </c>
      <c r="L35" s="48">
        <v>25</v>
      </c>
      <c r="M35" s="48">
        <v>32</v>
      </c>
      <c r="N35" s="48">
        <v>40</v>
      </c>
      <c r="O35" s="48">
        <v>49</v>
      </c>
      <c r="P35" s="379">
        <v>58</v>
      </c>
    </row>
    <row r="36" spans="2:17" ht="32.5" customHeight="1">
      <c r="B36" s="1463" t="s">
        <v>667</v>
      </c>
      <c r="C36" s="1464"/>
      <c r="D36" s="1464"/>
      <c r="E36" s="1465"/>
      <c r="F36" s="48">
        <v>0</v>
      </c>
      <c r="G36" s="48">
        <v>0</v>
      </c>
      <c r="H36" s="48">
        <v>3768</v>
      </c>
      <c r="I36" s="48">
        <v>3428</v>
      </c>
      <c r="J36" s="48">
        <v>2176</v>
      </c>
      <c r="K36" s="48">
        <v>2304</v>
      </c>
      <c r="L36" s="48">
        <v>2129</v>
      </c>
      <c r="M36" s="48">
        <v>1335</v>
      </c>
      <c r="N36" s="48">
        <v>478</v>
      </c>
      <c r="O36" s="48">
        <v>531</v>
      </c>
      <c r="P36" s="379">
        <v>212</v>
      </c>
    </row>
    <row r="37" spans="2:17" ht="32.5" customHeight="1">
      <c r="B37" s="1463" t="s">
        <v>672</v>
      </c>
      <c r="C37" s="1464"/>
      <c r="D37" s="1464"/>
      <c r="E37" s="1465"/>
      <c r="F37" s="48">
        <v>38</v>
      </c>
      <c r="G37" s="48">
        <v>81</v>
      </c>
      <c r="H37" s="48">
        <v>43</v>
      </c>
      <c r="I37" s="48"/>
      <c r="J37" s="48"/>
      <c r="K37" s="48"/>
      <c r="L37" s="48"/>
      <c r="M37" s="48"/>
      <c r="N37" s="48"/>
      <c r="O37" s="48"/>
      <c r="P37" s="379"/>
    </row>
    <row r="38" spans="2:17">
      <c r="B38" s="1450" t="s">
        <v>668</v>
      </c>
      <c r="C38" s="1451"/>
      <c r="D38" s="1451"/>
      <c r="E38" s="1452"/>
      <c r="F38" s="48"/>
      <c r="G38" s="48"/>
      <c r="H38" s="48"/>
      <c r="I38" s="48">
        <v>-184</v>
      </c>
      <c r="J38" s="48">
        <v>-1830</v>
      </c>
      <c r="K38" s="48">
        <v>-2406</v>
      </c>
      <c r="L38" s="48">
        <v>-2419</v>
      </c>
      <c r="M38" s="48">
        <v>-2467</v>
      </c>
      <c r="N38" s="48">
        <v>-2531</v>
      </c>
      <c r="O38" s="48">
        <v>-2667</v>
      </c>
      <c r="P38" s="379">
        <v>-2809</v>
      </c>
    </row>
    <row r="39" spans="2:17" ht="15.5" customHeight="1">
      <c r="B39" s="1456" t="s">
        <v>669</v>
      </c>
      <c r="C39" s="1457"/>
      <c r="D39" s="1457"/>
      <c r="E39" s="1458"/>
      <c r="F39" s="48">
        <v>6524</v>
      </c>
      <c r="G39" s="48">
        <v>6143</v>
      </c>
      <c r="H39" s="48"/>
      <c r="I39" s="48"/>
      <c r="J39" s="48"/>
      <c r="K39" s="48"/>
      <c r="L39" s="48"/>
      <c r="M39" s="48"/>
      <c r="N39" s="48"/>
      <c r="O39" s="48"/>
      <c r="P39" s="379"/>
    </row>
    <row r="40" spans="2:17">
      <c r="B40" s="1450" t="s">
        <v>670</v>
      </c>
      <c r="C40" s="1451"/>
      <c r="D40" s="1451"/>
      <c r="E40" s="1452"/>
      <c r="F40" s="48">
        <v>50</v>
      </c>
      <c r="G40" s="48">
        <v>175</v>
      </c>
      <c r="H40" s="48">
        <v>25</v>
      </c>
      <c r="I40" s="48"/>
      <c r="J40" s="48"/>
      <c r="K40" s="48"/>
      <c r="L40" s="48"/>
      <c r="M40" s="48"/>
      <c r="N40" s="48"/>
      <c r="O40" s="48"/>
      <c r="P40" s="379"/>
    </row>
    <row r="41" spans="2:17">
      <c r="B41" s="1450" t="s">
        <v>671</v>
      </c>
      <c r="C41" s="1451"/>
      <c r="D41" s="1451"/>
      <c r="E41" s="1452"/>
      <c r="F41" s="48">
        <v>829</v>
      </c>
      <c r="G41" s="48">
        <v>844</v>
      </c>
      <c r="H41" s="48"/>
      <c r="I41" s="48"/>
      <c r="J41" s="48"/>
      <c r="K41" s="48"/>
      <c r="L41" s="48"/>
      <c r="M41" s="48"/>
      <c r="N41" s="48"/>
      <c r="O41" s="48"/>
      <c r="P41" s="379"/>
    </row>
    <row r="42" spans="2:17">
      <c r="B42" s="1459" t="s">
        <v>660</v>
      </c>
      <c r="C42" s="1460"/>
      <c r="D42" s="1460"/>
      <c r="E42" s="1461"/>
      <c r="F42" s="48">
        <f t="shared" ref="F42:P42" si="12">SUM(F33:F41)</f>
        <v>7728</v>
      </c>
      <c r="G42" s="48">
        <f t="shared" si="12"/>
        <v>7782</v>
      </c>
      <c r="H42" s="48">
        <f t="shared" si="12"/>
        <v>4916</v>
      </c>
      <c r="I42" s="48">
        <f t="shared" si="12"/>
        <v>4863</v>
      </c>
      <c r="J42" s="48">
        <f t="shared" si="12"/>
        <v>2095</v>
      </c>
      <c r="K42" s="48">
        <f t="shared" si="12"/>
        <v>1690</v>
      </c>
      <c r="L42" s="48">
        <f t="shared" si="12"/>
        <v>842</v>
      </c>
      <c r="M42" s="48">
        <f t="shared" si="12"/>
        <v>-1100</v>
      </c>
      <c r="N42" s="48">
        <f t="shared" si="12"/>
        <v>-2013</v>
      </c>
      <c r="O42" s="48">
        <f t="shared" si="12"/>
        <v>-2087</v>
      </c>
      <c r="P42" s="379">
        <f t="shared" si="12"/>
        <v>-2539</v>
      </c>
    </row>
    <row r="43" spans="2:17">
      <c r="B43" s="1456" t="s">
        <v>526</v>
      </c>
      <c r="C43" s="1457"/>
      <c r="D43" s="1457"/>
      <c r="E43" s="1458"/>
      <c r="F43" s="48">
        <f t="shared" ref="F43:P43" si="13">F39+F37+F36</f>
        <v>6562</v>
      </c>
      <c r="G43" s="48">
        <f t="shared" si="13"/>
        <v>6224</v>
      </c>
      <c r="H43" s="48">
        <f t="shared" si="13"/>
        <v>3811</v>
      </c>
      <c r="I43" s="48">
        <f t="shared" si="13"/>
        <v>3428</v>
      </c>
      <c r="J43" s="48">
        <f t="shared" si="13"/>
        <v>2176</v>
      </c>
      <c r="K43" s="48">
        <f t="shared" si="13"/>
        <v>2304</v>
      </c>
      <c r="L43" s="48">
        <f t="shared" si="13"/>
        <v>2129</v>
      </c>
      <c r="M43" s="48">
        <f t="shared" si="13"/>
        <v>1335</v>
      </c>
      <c r="N43" s="48">
        <f t="shared" si="13"/>
        <v>478</v>
      </c>
      <c r="O43" s="48">
        <f t="shared" si="13"/>
        <v>531</v>
      </c>
      <c r="P43" s="379">
        <f t="shared" si="13"/>
        <v>212</v>
      </c>
      <c r="Q43" s="302" t="s">
        <v>663</v>
      </c>
    </row>
    <row r="44" spans="2:17">
      <c r="B44" s="1450" t="s">
        <v>527</v>
      </c>
      <c r="C44" s="1451"/>
      <c r="D44" s="1451"/>
      <c r="E44" s="1452"/>
      <c r="F44" s="48">
        <f>(F43/1000)/I25</f>
        <v>9.4295157350194007E-3</v>
      </c>
      <c r="G44" s="48">
        <f>(G43/1000)/N25</f>
        <v>7.8979357670578218E-3</v>
      </c>
      <c r="H44" s="48">
        <f>(H43/1000)/S25</f>
        <v>4.7048052553635873E-3</v>
      </c>
      <c r="I44" s="48">
        <f>(I43/1000)/T25</f>
        <v>4.0654273376616746E-3</v>
      </c>
      <c r="J44" s="48"/>
      <c r="K44" s="48"/>
      <c r="L44" s="48"/>
      <c r="M44" s="48"/>
      <c r="N44" s="48"/>
      <c r="O44" s="48"/>
      <c r="P44" s="379"/>
      <c r="Q44" s="302" t="s">
        <v>662</v>
      </c>
    </row>
    <row r="45" spans="2:17">
      <c r="B45" s="1453" t="s">
        <v>661</v>
      </c>
      <c r="C45" s="1454"/>
      <c r="D45" s="1454"/>
      <c r="E45" s="1455"/>
      <c r="F45" s="196">
        <f t="shared" ref="F45:P45" si="14">F42-F43</f>
        <v>1166</v>
      </c>
      <c r="G45" s="196">
        <f t="shared" si="14"/>
        <v>1558</v>
      </c>
      <c r="H45" s="196">
        <f t="shared" si="14"/>
        <v>1105</v>
      </c>
      <c r="I45" s="196">
        <f t="shared" si="14"/>
        <v>1435</v>
      </c>
      <c r="J45" s="196">
        <f t="shared" si="14"/>
        <v>-81</v>
      </c>
      <c r="K45" s="196">
        <f t="shared" si="14"/>
        <v>-614</v>
      </c>
      <c r="L45" s="196">
        <f t="shared" si="14"/>
        <v>-1287</v>
      </c>
      <c r="M45" s="196">
        <f t="shared" si="14"/>
        <v>-2435</v>
      </c>
      <c r="N45" s="196">
        <f t="shared" si="14"/>
        <v>-2491</v>
      </c>
      <c r="O45" s="196">
        <f t="shared" si="14"/>
        <v>-2618</v>
      </c>
      <c r="P45" s="236">
        <f t="shared" si="14"/>
        <v>-2751</v>
      </c>
    </row>
  </sheetData>
  <mergeCells count="34">
    <mergeCell ref="B1:AC1"/>
    <mergeCell ref="B45:E45"/>
    <mergeCell ref="B39:E39"/>
    <mergeCell ref="B40:E40"/>
    <mergeCell ref="B41:E41"/>
    <mergeCell ref="B42:E42"/>
    <mergeCell ref="B43:E43"/>
    <mergeCell ref="B44:E44"/>
    <mergeCell ref="B38:E38"/>
    <mergeCell ref="E7:H7"/>
    <mergeCell ref="B6:C8"/>
    <mergeCell ref="I7:L7"/>
    <mergeCell ref="Q7:T7"/>
    <mergeCell ref="B36:E36"/>
    <mergeCell ref="B37:E37"/>
    <mergeCell ref="D6:N6"/>
    <mergeCell ref="Q23:T23"/>
    <mergeCell ref="K22:Y22"/>
    <mergeCell ref="U23:X23"/>
    <mergeCell ref="E23:H23"/>
    <mergeCell ref="M23:P23"/>
    <mergeCell ref="B22:C24"/>
    <mergeCell ref="B34:E34"/>
    <mergeCell ref="B35:E35"/>
    <mergeCell ref="I23:J23"/>
    <mergeCell ref="K23:L23"/>
    <mergeCell ref="D22:J22"/>
    <mergeCell ref="B33:E33"/>
    <mergeCell ref="B2:AC4"/>
    <mergeCell ref="M7:N7"/>
    <mergeCell ref="O7:P7"/>
    <mergeCell ref="O6:AC6"/>
    <mergeCell ref="Y7:AB7"/>
    <mergeCell ref="U7:X7"/>
  </mergeCell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00F81-168C-47F5-AFC8-7D962D04F7A6}">
  <dimension ref="A1:AC26"/>
  <sheetViews>
    <sheetView zoomScale="66" workbookViewId="0">
      <selection activeCell="O27" sqref="O27"/>
    </sheetView>
  </sheetViews>
  <sheetFormatPr baseColWidth="10" defaultColWidth="8.83203125" defaultRowHeight="14"/>
  <cols>
    <col min="1" max="1" width="8.83203125" style="240"/>
    <col min="2" max="2" width="42.83203125" style="240" customWidth="1"/>
    <col min="3" max="3" width="7.5" style="240" bestFit="1" customWidth="1"/>
    <col min="4" max="4" width="8.83203125" style="240" customWidth="1"/>
    <col min="5" max="5" width="9" style="240" customWidth="1"/>
    <col min="6" max="13" width="8.83203125" style="240" bestFit="1" customWidth="1"/>
    <col min="14" max="14" width="9.1640625" style="240" bestFit="1" customWidth="1"/>
    <col min="15" max="19" width="8.83203125" style="240" bestFit="1" customWidth="1"/>
    <col min="20" max="22" width="9.1640625" style="240" bestFit="1" customWidth="1"/>
    <col min="23" max="16384" width="8.83203125" style="240"/>
  </cols>
  <sheetData>
    <row r="1" spans="2:29">
      <c r="B1" s="1372" t="s">
        <v>385</v>
      </c>
      <c r="C1" s="1372"/>
      <c r="D1" s="1372"/>
      <c r="E1" s="1372"/>
      <c r="F1" s="1372"/>
      <c r="G1" s="1372"/>
      <c r="H1" s="1372"/>
      <c r="I1" s="1372"/>
      <c r="J1" s="1372"/>
      <c r="K1" s="1372"/>
      <c r="L1" s="1372"/>
      <c r="M1" s="1372"/>
      <c r="N1" s="1372"/>
      <c r="O1" s="1372"/>
      <c r="P1" s="1372"/>
      <c r="Q1" s="1372"/>
      <c r="R1" s="1372"/>
      <c r="S1" s="1372"/>
      <c r="T1" s="1372"/>
      <c r="U1" s="1372"/>
      <c r="V1" s="1372"/>
      <c r="W1" s="1372"/>
      <c r="X1" s="1372"/>
      <c r="Y1" s="1372"/>
      <c r="Z1" s="1372"/>
      <c r="AA1" s="1372"/>
      <c r="AB1" s="1372"/>
      <c r="AC1" s="1372"/>
    </row>
    <row r="2" spans="2:29" ht="14" customHeight="1">
      <c r="B2" s="1397" t="s">
        <v>1034</v>
      </c>
      <c r="C2" s="1397"/>
      <c r="D2" s="1397"/>
      <c r="E2" s="1397"/>
      <c r="F2" s="1397"/>
      <c r="G2" s="1397"/>
      <c r="H2" s="1397"/>
      <c r="I2" s="1397"/>
      <c r="J2" s="1397"/>
      <c r="K2" s="1397"/>
      <c r="L2" s="1397"/>
      <c r="M2" s="1397"/>
      <c r="N2" s="1397"/>
      <c r="O2" s="1397"/>
      <c r="P2" s="1397"/>
      <c r="Q2" s="1397"/>
      <c r="R2" s="1397"/>
      <c r="S2" s="1397"/>
      <c r="T2" s="1397"/>
      <c r="U2" s="1397"/>
      <c r="V2" s="1397"/>
      <c r="W2" s="1397"/>
      <c r="X2" s="1397"/>
      <c r="Y2" s="1397"/>
      <c r="Z2" s="1397"/>
      <c r="AA2" s="1397"/>
      <c r="AB2" s="1397"/>
      <c r="AC2" s="1397"/>
    </row>
    <row r="3" spans="2:29">
      <c r="B3" s="1397"/>
      <c r="C3" s="1397"/>
      <c r="D3" s="1397"/>
      <c r="E3" s="1397"/>
      <c r="F3" s="1397"/>
      <c r="G3" s="1397"/>
      <c r="H3" s="1397"/>
      <c r="I3" s="1397"/>
      <c r="J3" s="1397"/>
      <c r="K3" s="1397"/>
      <c r="L3" s="1397"/>
      <c r="M3" s="1397"/>
      <c r="N3" s="1397"/>
      <c r="O3" s="1397"/>
      <c r="P3" s="1397"/>
      <c r="Q3" s="1397"/>
      <c r="R3" s="1397"/>
      <c r="S3" s="1397"/>
      <c r="T3" s="1397"/>
      <c r="U3" s="1397"/>
      <c r="V3" s="1397"/>
      <c r="W3" s="1397"/>
      <c r="X3" s="1397"/>
      <c r="Y3" s="1397"/>
      <c r="Z3" s="1397"/>
      <c r="AA3" s="1397"/>
      <c r="AB3" s="1397"/>
      <c r="AC3" s="1397"/>
    </row>
    <row r="4" spans="2:29">
      <c r="B4" s="1397"/>
      <c r="C4" s="1397"/>
      <c r="D4" s="1397"/>
      <c r="E4" s="1397"/>
      <c r="F4" s="1397"/>
      <c r="G4" s="1397"/>
      <c r="H4" s="1397"/>
      <c r="I4" s="1397"/>
      <c r="J4" s="1397"/>
      <c r="K4" s="1397"/>
      <c r="L4" s="1397"/>
      <c r="M4" s="1397"/>
      <c r="N4" s="1397"/>
      <c r="O4" s="1397"/>
      <c r="P4" s="1397"/>
      <c r="Q4" s="1397"/>
      <c r="R4" s="1397"/>
      <c r="S4" s="1397"/>
      <c r="T4" s="1397"/>
      <c r="U4" s="1397"/>
      <c r="V4" s="1397"/>
      <c r="W4" s="1397"/>
      <c r="X4" s="1397"/>
      <c r="Y4" s="1397"/>
      <c r="Z4" s="1397"/>
      <c r="AA4" s="1397"/>
      <c r="AB4" s="1397"/>
      <c r="AC4" s="1397"/>
    </row>
    <row r="6" spans="2:29">
      <c r="B6" s="57" t="s">
        <v>399</v>
      </c>
    </row>
    <row r="7" spans="2:29" ht="14.5" customHeight="1">
      <c r="B7" s="1390" t="s">
        <v>292</v>
      </c>
      <c r="C7" s="1430"/>
      <c r="D7" s="1402" t="s">
        <v>261</v>
      </c>
      <c r="E7" s="1403"/>
      <c r="F7" s="1403"/>
      <c r="G7" s="1403"/>
      <c r="H7" s="1403"/>
      <c r="I7" s="1403"/>
      <c r="J7" s="1403"/>
      <c r="K7" s="1403"/>
      <c r="L7" s="1403"/>
      <c r="M7" s="1387"/>
      <c r="N7" s="1425"/>
      <c r="O7" s="1388" t="s">
        <v>143</v>
      </c>
      <c r="P7" s="1437"/>
      <c r="Q7" s="1437"/>
      <c r="R7" s="1437"/>
      <c r="S7" s="1437"/>
      <c r="T7" s="1437"/>
      <c r="U7" s="1437"/>
      <c r="V7" s="1437"/>
      <c r="W7" s="1437"/>
      <c r="X7" s="1437"/>
      <c r="Y7" s="1399"/>
      <c r="Z7" s="1399"/>
      <c r="AA7" s="1399"/>
      <c r="AB7" s="1399"/>
      <c r="AC7" s="1400"/>
    </row>
    <row r="8" spans="2:29">
      <c r="B8" s="1392"/>
      <c r="C8" s="1431"/>
      <c r="D8" s="838">
        <v>2018</v>
      </c>
      <c r="E8" s="1373">
        <v>2019</v>
      </c>
      <c r="F8" s="1374"/>
      <c r="G8" s="1374"/>
      <c r="H8" s="1383"/>
      <c r="I8" s="1426">
        <v>2020</v>
      </c>
      <c r="J8" s="1374"/>
      <c r="K8" s="1374"/>
      <c r="L8" s="1374"/>
      <c r="M8" s="1373">
        <v>2021</v>
      </c>
      <c r="N8" s="1383"/>
      <c r="O8" s="1438">
        <v>2021</v>
      </c>
      <c r="P8" s="1439"/>
      <c r="Q8" s="1438">
        <v>2022</v>
      </c>
      <c r="R8" s="1442"/>
      <c r="S8" s="1442"/>
      <c r="T8" s="1442"/>
      <c r="U8" s="1438">
        <v>2023</v>
      </c>
      <c r="V8" s="1442"/>
      <c r="W8" s="1442"/>
      <c r="X8" s="1442"/>
      <c r="Y8" s="1396">
        <v>2024</v>
      </c>
      <c r="Z8" s="1401"/>
      <c r="AA8" s="1401"/>
      <c r="AB8" s="1401"/>
      <c r="AC8" s="475">
        <v>2025</v>
      </c>
    </row>
    <row r="9" spans="2:29">
      <c r="B9" s="1392"/>
      <c r="C9" s="1431"/>
      <c r="D9" s="224" t="s">
        <v>138</v>
      </c>
      <c r="E9" s="224" t="s">
        <v>135</v>
      </c>
      <c r="F9" s="200" t="s">
        <v>136</v>
      </c>
      <c r="G9" s="200" t="s">
        <v>137</v>
      </c>
      <c r="H9" s="208" t="s">
        <v>138</v>
      </c>
      <c r="I9" s="201" t="s">
        <v>135</v>
      </c>
      <c r="J9" s="201" t="s">
        <v>136</v>
      </c>
      <c r="K9" s="201" t="s">
        <v>137</v>
      </c>
      <c r="L9" s="201" t="s">
        <v>138</v>
      </c>
      <c r="M9" s="216" t="s">
        <v>135</v>
      </c>
      <c r="N9" s="208" t="s">
        <v>136</v>
      </c>
      <c r="O9" s="891" t="s">
        <v>137</v>
      </c>
      <c r="P9" s="893" t="s">
        <v>138</v>
      </c>
      <c r="Q9" s="891" t="s">
        <v>135</v>
      </c>
      <c r="R9" s="892" t="s">
        <v>136</v>
      </c>
      <c r="S9" s="892" t="s">
        <v>137</v>
      </c>
      <c r="T9" s="892" t="s">
        <v>138</v>
      </c>
      <c r="U9" s="891" t="s">
        <v>135</v>
      </c>
      <c r="V9" s="892" t="s">
        <v>136</v>
      </c>
      <c r="W9" s="892" t="s">
        <v>137</v>
      </c>
      <c r="X9" s="892" t="s">
        <v>138</v>
      </c>
      <c r="Y9" s="1083" t="s">
        <v>135</v>
      </c>
      <c r="Z9" s="577" t="s">
        <v>136</v>
      </c>
      <c r="AA9" s="1084" t="s">
        <v>137</v>
      </c>
      <c r="AB9" s="1084" t="s">
        <v>138</v>
      </c>
      <c r="AC9" s="82" t="s">
        <v>135</v>
      </c>
    </row>
    <row r="10" spans="2:29">
      <c r="B10" s="207" t="s">
        <v>424</v>
      </c>
      <c r="C10" s="230"/>
      <c r="D10" s="975">
        <f>D11 +D13</f>
        <v>754.2</v>
      </c>
      <c r="E10" s="975">
        <f t="shared" ref="E10:AC10" si="0">E11 +E13</f>
        <v>768.3</v>
      </c>
      <c r="F10" s="975">
        <f t="shared" si="0"/>
        <v>781.1</v>
      </c>
      <c r="G10" s="975">
        <f t="shared" si="0"/>
        <v>792.1</v>
      </c>
      <c r="H10" s="975">
        <f t="shared" si="0"/>
        <v>801.3</v>
      </c>
      <c r="I10" s="975">
        <f t="shared" si="0"/>
        <v>808.5</v>
      </c>
      <c r="J10" s="975">
        <f t="shared" si="0"/>
        <v>821.6</v>
      </c>
      <c r="K10" s="975">
        <f t="shared" si="0"/>
        <v>825.8</v>
      </c>
      <c r="L10" s="975">
        <f t="shared" si="0"/>
        <v>821</v>
      </c>
      <c r="M10" s="975">
        <f t="shared" si="0"/>
        <v>814.1</v>
      </c>
      <c r="N10" s="1094">
        <f t="shared" si="0"/>
        <v>815.3</v>
      </c>
      <c r="O10" s="1096">
        <f t="shared" si="0"/>
        <v>829.40291089552829</v>
      </c>
      <c r="P10" s="1097">
        <f t="shared" si="0"/>
        <v>843.85759747491386</v>
      </c>
      <c r="Q10" s="1097">
        <f t="shared" si="0"/>
        <v>843.37413735570783</v>
      </c>
      <c r="R10" s="1097">
        <f t="shared" si="0"/>
        <v>859.18080292867467</v>
      </c>
      <c r="S10" s="1097">
        <f t="shared" si="0"/>
        <v>861.28301891594344</v>
      </c>
      <c r="T10" s="1097">
        <f t="shared" si="0"/>
        <v>877.68631147019892</v>
      </c>
      <c r="U10" s="1097">
        <f t="shared" si="0"/>
        <v>894.37097605549116</v>
      </c>
      <c r="V10" s="1097">
        <f t="shared" si="0"/>
        <v>911.36713476209957</v>
      </c>
      <c r="W10" s="1097">
        <f t="shared" si="0"/>
        <v>928.68060302533706</v>
      </c>
      <c r="X10" s="1097">
        <f t="shared" si="0"/>
        <v>946.31730485170817</v>
      </c>
      <c r="Y10" s="1097">
        <f t="shared" si="0"/>
        <v>964.02626563984654</v>
      </c>
      <c r="Z10" s="1097">
        <f t="shared" si="0"/>
        <v>982.06111404386252</v>
      </c>
      <c r="AA10" s="1097">
        <f t="shared" si="0"/>
        <v>1000.427847182359</v>
      </c>
      <c r="AB10" s="1097">
        <f t="shared" si="0"/>
        <v>1019.1325725353943</v>
      </c>
      <c r="AC10" s="1098">
        <f t="shared" si="0"/>
        <v>1038.181509975399</v>
      </c>
    </row>
    <row r="11" spans="2:29" ht="15">
      <c r="B11" s="95" t="s">
        <v>385</v>
      </c>
      <c r="C11" s="223" t="s">
        <v>210</v>
      </c>
      <c r="D11" s="976">
        <f>'Haver Pivoted'!GO12</f>
        <v>754.2</v>
      </c>
      <c r="E11" s="977">
        <f>'Haver Pivoted'!GP12</f>
        <v>768.3</v>
      </c>
      <c r="F11" s="977">
        <f>'Haver Pivoted'!GQ12</f>
        <v>781.1</v>
      </c>
      <c r="G11" s="977">
        <f>'Haver Pivoted'!GR12</f>
        <v>792.1</v>
      </c>
      <c r="H11" s="977">
        <f>'Haver Pivoted'!GS12</f>
        <v>801.3</v>
      </c>
      <c r="I11" s="977">
        <f>'Haver Pivoted'!GT12</f>
        <v>808.5</v>
      </c>
      <c r="J11" s="977">
        <f>'Haver Pivoted'!GU12</f>
        <v>821.6</v>
      </c>
      <c r="K11" s="977">
        <f>'Haver Pivoted'!GV12</f>
        <v>825.8</v>
      </c>
      <c r="L11" s="977">
        <f>'Haver Pivoted'!GW12</f>
        <v>821</v>
      </c>
      <c r="M11" s="977">
        <f>'Haver Pivoted'!GX12</f>
        <v>814.1</v>
      </c>
      <c r="N11" s="977">
        <f>'Haver Pivoted'!GY12</f>
        <v>815.3</v>
      </c>
      <c r="O11" s="1099">
        <f>O12+O14</f>
        <v>829.40291089552829</v>
      </c>
      <c r="P11" s="218">
        <f t="shared" ref="P11:AC11" si="1">P12+P14</f>
        <v>843.85759747491386</v>
      </c>
      <c r="Q11" s="218">
        <f t="shared" si="1"/>
        <v>859.37413735570783</v>
      </c>
      <c r="R11" s="218">
        <f t="shared" si="1"/>
        <v>875.18080292867467</v>
      </c>
      <c r="S11" s="218">
        <f t="shared" si="1"/>
        <v>877.28301891594344</v>
      </c>
      <c r="T11" s="218">
        <f t="shared" si="1"/>
        <v>893.68631147019892</v>
      </c>
      <c r="U11" s="218">
        <f t="shared" si="1"/>
        <v>910.37097605549116</v>
      </c>
      <c r="V11" s="218">
        <f t="shared" si="1"/>
        <v>927.36713476209957</v>
      </c>
      <c r="W11" s="218">
        <f t="shared" si="1"/>
        <v>944.68060302533706</v>
      </c>
      <c r="X11" s="218">
        <f t="shared" si="1"/>
        <v>962.31730485170817</v>
      </c>
      <c r="Y11" s="218">
        <f t="shared" si="1"/>
        <v>980.02626563984654</v>
      </c>
      <c r="Z11" s="218">
        <f t="shared" si="1"/>
        <v>998.06111404386252</v>
      </c>
      <c r="AA11" s="218">
        <f t="shared" si="1"/>
        <v>1016.427847182359</v>
      </c>
      <c r="AB11" s="218">
        <f t="shared" si="1"/>
        <v>1035.1325725353943</v>
      </c>
      <c r="AC11" s="1068">
        <f t="shared" si="1"/>
        <v>1054.181509975399</v>
      </c>
    </row>
    <row r="12" spans="2:29" s="302" customFormat="1" ht="15">
      <c r="B12" s="95" t="s">
        <v>1176</v>
      </c>
      <c r="C12" s="223"/>
      <c r="D12" s="976"/>
      <c r="E12" s="977"/>
      <c r="F12" s="977"/>
      <c r="G12" s="977"/>
      <c r="H12" s="977"/>
      <c r="I12" s="977"/>
      <c r="J12" s="977">
        <f>J11-J14</f>
        <v>812</v>
      </c>
      <c r="K12" s="977">
        <f t="shared" ref="K12:N12" si="2">K11-K14</f>
        <v>811.4</v>
      </c>
      <c r="L12" s="977">
        <f t="shared" si="2"/>
        <v>806.7</v>
      </c>
      <c r="M12" s="977">
        <f t="shared" si="2"/>
        <v>799.9</v>
      </c>
      <c r="N12" s="977">
        <f t="shared" si="2"/>
        <v>801.19999999999993</v>
      </c>
      <c r="O12" s="1099">
        <f>N12*(1+N15)</f>
        <v>815.40291089552829</v>
      </c>
      <c r="P12" s="218">
        <f t="shared" ref="P12:AC12" si="3">O12*(1+O15)</f>
        <v>829.85759747491386</v>
      </c>
      <c r="Q12" s="218">
        <f t="shared" si="3"/>
        <v>845.37413735570783</v>
      </c>
      <c r="R12" s="218">
        <f t="shared" si="3"/>
        <v>861.18080292867467</v>
      </c>
      <c r="S12" s="218">
        <f t="shared" si="3"/>
        <v>877.28301891594344</v>
      </c>
      <c r="T12" s="218">
        <f t="shared" si="3"/>
        <v>893.68631147019892</v>
      </c>
      <c r="U12" s="218">
        <f t="shared" si="3"/>
        <v>910.37097605549116</v>
      </c>
      <c r="V12" s="218">
        <f t="shared" si="3"/>
        <v>927.36713476209957</v>
      </c>
      <c r="W12" s="218">
        <f t="shared" si="3"/>
        <v>944.68060302533706</v>
      </c>
      <c r="X12" s="218">
        <f t="shared" si="3"/>
        <v>962.31730485170817</v>
      </c>
      <c r="Y12" s="218">
        <f t="shared" si="3"/>
        <v>980.02626563984654</v>
      </c>
      <c r="Z12" s="218">
        <f t="shared" si="3"/>
        <v>998.06111404386252</v>
      </c>
      <c r="AA12" s="218">
        <f t="shared" si="3"/>
        <v>1016.427847182359</v>
      </c>
      <c r="AB12" s="218">
        <f t="shared" si="3"/>
        <v>1035.1325725353943</v>
      </c>
      <c r="AC12" s="1068">
        <f t="shared" si="3"/>
        <v>1054.181509975399</v>
      </c>
    </row>
    <row r="13" spans="2:29" ht="15">
      <c r="B13" s="249" t="s">
        <v>1174</v>
      </c>
      <c r="C13" s="251"/>
      <c r="D13" s="976"/>
      <c r="E13" s="977"/>
      <c r="F13" s="977"/>
      <c r="G13" s="977"/>
      <c r="H13" s="977"/>
      <c r="I13" s="977"/>
      <c r="J13" s="977"/>
      <c r="K13" s="977"/>
      <c r="L13" s="977"/>
      <c r="M13" s="977"/>
      <c r="N13" s="1095"/>
      <c r="O13" s="1100"/>
      <c r="P13" s="233"/>
      <c r="Q13" s="233">
        <v>-16</v>
      </c>
      <c r="R13" s="233">
        <f>Q13</f>
        <v>-16</v>
      </c>
      <c r="S13" s="233">
        <f t="shared" ref="S13:Y13" si="4">R13</f>
        <v>-16</v>
      </c>
      <c r="T13" s="233">
        <f t="shared" si="4"/>
        <v>-16</v>
      </c>
      <c r="U13" s="233">
        <f t="shared" si="4"/>
        <v>-16</v>
      </c>
      <c r="V13" s="233">
        <f t="shared" si="4"/>
        <v>-16</v>
      </c>
      <c r="W13" s="233">
        <f t="shared" si="4"/>
        <v>-16</v>
      </c>
      <c r="X13" s="233">
        <f t="shared" si="4"/>
        <v>-16</v>
      </c>
      <c r="Y13" s="233">
        <f t="shared" si="4"/>
        <v>-16</v>
      </c>
      <c r="Z13" s="233">
        <f t="shared" ref="Z13" si="5">Y13</f>
        <v>-16</v>
      </c>
      <c r="AA13" s="233">
        <f t="shared" ref="AA13" si="6">Z13</f>
        <v>-16</v>
      </c>
      <c r="AB13" s="233">
        <f t="shared" ref="AB13" si="7">AA13</f>
        <v>-16</v>
      </c>
      <c r="AC13" s="1069">
        <f t="shared" ref="AC13" si="8">AB13</f>
        <v>-16</v>
      </c>
    </row>
    <row r="14" spans="2:29" s="302" customFormat="1" ht="15">
      <c r="B14" s="249" t="s">
        <v>1175</v>
      </c>
      <c r="C14" s="1093" t="s">
        <v>1177</v>
      </c>
      <c r="D14" s="976"/>
      <c r="E14" s="977"/>
      <c r="F14" s="977"/>
      <c r="G14" s="977"/>
      <c r="H14" s="977"/>
      <c r="I14" s="977"/>
      <c r="J14" s="977">
        <v>9.6</v>
      </c>
      <c r="K14" s="977">
        <v>14.4</v>
      </c>
      <c r="L14" s="977">
        <v>14.3</v>
      </c>
      <c r="M14" s="977">
        <v>14.2</v>
      </c>
      <c r="N14" s="1095">
        <v>14.1</v>
      </c>
      <c r="O14" s="1100">
        <v>14</v>
      </c>
      <c r="P14" s="233">
        <v>14</v>
      </c>
      <c r="Q14" s="233">
        <v>14</v>
      </c>
      <c r="R14" s="233">
        <v>14</v>
      </c>
      <c r="S14" s="233"/>
      <c r="T14" s="233"/>
      <c r="U14" s="233"/>
      <c r="V14" s="233"/>
      <c r="W14" s="233"/>
      <c r="X14" s="233"/>
      <c r="Y14" s="233"/>
      <c r="Z14" s="233"/>
      <c r="AA14" s="233"/>
      <c r="AB14" s="233"/>
      <c r="AC14" s="1069"/>
    </row>
    <row r="15" spans="2:29">
      <c r="B15" s="215" t="s">
        <v>427</v>
      </c>
      <c r="C15" s="204"/>
      <c r="D15" s="978"/>
      <c r="E15" s="979"/>
      <c r="F15" s="979"/>
      <c r="G15" s="979"/>
      <c r="H15" s="979"/>
      <c r="I15" s="979"/>
      <c r="J15" s="980"/>
      <c r="K15" s="980"/>
      <c r="L15" s="980"/>
      <c r="M15" s="980"/>
      <c r="N15" s="980">
        <f>(1 + $E$24)^0.25-1</f>
        <v>1.7727048047339489E-2</v>
      </c>
      <c r="O15" s="1101">
        <f>(1 + $E$24)^0.25-1</f>
        <v>1.7727048047339489E-2</v>
      </c>
      <c r="P15" s="243">
        <f>(1 + $F$24)^0.25-1</f>
        <v>1.8697834336888208E-2</v>
      </c>
      <c r="Q15" s="243">
        <f>(1 +$F$24)^0.25-1</f>
        <v>1.8697834336888208E-2</v>
      </c>
      <c r="R15" s="243">
        <f>(1 +$F$24)^0.25-1</f>
        <v>1.8697834336888208E-2</v>
      </c>
      <c r="S15" s="243">
        <f>(1 +$F$24)^0.25-1</f>
        <v>1.8697834336888208E-2</v>
      </c>
      <c r="T15" s="243">
        <f>(1 +$G$24)^0.25-1</f>
        <v>1.8669486564971915E-2</v>
      </c>
      <c r="U15" s="243">
        <f>(1 +$G$24)^0.25-1</f>
        <v>1.8669486564971915E-2</v>
      </c>
      <c r="V15" s="243">
        <f>(1 +$G$24)^0.25-1</f>
        <v>1.8669486564971915E-2</v>
      </c>
      <c r="W15" s="243">
        <f>(1 +$G$24)^0.25-1</f>
        <v>1.8669486564971915E-2</v>
      </c>
      <c r="X15" s="243">
        <f>(1 +$H$24)^0.25-1</f>
        <v>1.8402413319240196E-2</v>
      </c>
      <c r="Y15" s="243">
        <f>(1 +$H$24)^0.25-1</f>
        <v>1.8402413319240196E-2</v>
      </c>
      <c r="Z15" s="243">
        <f t="shared" ref="Z15:AC15" si="9">(1 +$H$24)^0.25-1</f>
        <v>1.8402413319240196E-2</v>
      </c>
      <c r="AA15" s="243">
        <f t="shared" si="9"/>
        <v>1.8402413319240196E-2</v>
      </c>
      <c r="AB15" s="243">
        <f t="shared" si="9"/>
        <v>1.8402413319240196E-2</v>
      </c>
      <c r="AC15" s="1070">
        <f t="shared" si="9"/>
        <v>1.8402413319240196E-2</v>
      </c>
    </row>
    <row r="16" spans="2:29" s="302" customFormat="1">
      <c r="B16" s="1090"/>
      <c r="C16" s="886"/>
      <c r="D16" s="1091"/>
      <c r="E16" s="1091"/>
      <c r="F16" s="1091"/>
      <c r="G16" s="1091"/>
      <c r="H16" s="1091"/>
      <c r="I16" s="1091"/>
      <c r="J16" s="1092"/>
      <c r="K16" s="1092"/>
      <c r="L16" s="1092"/>
      <c r="M16" s="1092"/>
      <c r="N16" s="1092"/>
      <c r="O16" s="1092"/>
      <c r="P16" s="1092"/>
      <c r="Q16" s="1092"/>
      <c r="R16" s="1092"/>
      <c r="S16" s="1092"/>
      <c r="T16" s="1092"/>
      <c r="U16" s="1092"/>
      <c r="V16" s="1092"/>
      <c r="W16" s="1092"/>
      <c r="X16" s="1092"/>
      <c r="Y16" s="1092"/>
      <c r="Z16" s="1092"/>
      <c r="AA16" s="1092"/>
      <c r="AB16" s="1092"/>
      <c r="AC16" s="1092"/>
    </row>
    <row r="17" spans="1:29">
      <c r="B17" s="57" t="s">
        <v>400</v>
      </c>
      <c r="O17" s="120"/>
      <c r="P17" s="120"/>
      <c r="Q17" s="120"/>
      <c r="R17" s="120"/>
      <c r="S17" s="120"/>
      <c r="T17" s="120"/>
      <c r="U17" s="120"/>
      <c r="V17" s="120"/>
      <c r="W17" s="120"/>
      <c r="X17" s="120"/>
      <c r="Y17" s="120"/>
      <c r="Z17" s="120"/>
      <c r="AA17" s="120"/>
      <c r="AB17" s="120"/>
      <c r="AC17" s="120"/>
    </row>
    <row r="18" spans="1:29">
      <c r="B18" s="775" t="s">
        <v>422</v>
      </c>
      <c r="C18" s="775">
        <v>2019</v>
      </c>
      <c r="D18" s="776">
        <v>2020</v>
      </c>
      <c r="E18" s="776">
        <v>2021</v>
      </c>
      <c r="F18" s="776">
        <v>2022</v>
      </c>
      <c r="G18" s="776">
        <v>2023</v>
      </c>
      <c r="H18" s="777">
        <v>2024</v>
      </c>
      <c r="I18" s="777">
        <v>2025</v>
      </c>
      <c r="J18" s="777">
        <v>2026</v>
      </c>
    </row>
    <row r="19" spans="1:29" ht="21" customHeight="1">
      <c r="A19" s="302"/>
      <c r="B19" s="186" t="s">
        <v>1093</v>
      </c>
      <c r="C19" s="784">
        <v>775</v>
      </c>
      <c r="D19" s="779">
        <v>912.11599999999999</v>
      </c>
      <c r="E19" s="779">
        <v>831.48500000000001</v>
      </c>
      <c r="F19" s="779">
        <v>862.72400000000005</v>
      </c>
      <c r="G19" s="779">
        <v>1007.266</v>
      </c>
      <c r="H19" s="779">
        <v>1088.671</v>
      </c>
      <c r="I19" s="779">
        <v>1171.1110000000001</v>
      </c>
      <c r="J19" s="780">
        <v>1258.2270000000001</v>
      </c>
      <c r="K19" s="231"/>
      <c r="L19" s="231"/>
      <c r="M19" s="231"/>
      <c r="N19" s="231"/>
      <c r="O19" s="231"/>
    </row>
    <row r="20" spans="1:29">
      <c r="B20" s="563" t="s">
        <v>1031</v>
      </c>
      <c r="C20" s="563"/>
      <c r="D20" s="562">
        <v>47</v>
      </c>
      <c r="E20" s="562">
        <v>-46</v>
      </c>
      <c r="F20" s="562"/>
      <c r="G20" s="562"/>
      <c r="H20" s="562"/>
      <c r="I20" s="562"/>
      <c r="J20" s="45"/>
      <c r="K20" s="302"/>
      <c r="L20" s="302"/>
      <c r="M20" s="302"/>
      <c r="N20" s="632"/>
      <c r="O20" s="323"/>
      <c r="P20" s="323"/>
      <c r="Q20" s="323"/>
    </row>
    <row r="21" spans="1:29">
      <c r="B21" s="563" t="s">
        <v>1032</v>
      </c>
      <c r="C21" s="785">
        <f>C19-C20</f>
        <v>775</v>
      </c>
      <c r="D21" s="778">
        <f t="shared" ref="D21:H21" si="10">D19-D20</f>
        <v>865.11599999999999</v>
      </c>
      <c r="E21" s="778">
        <f t="shared" si="10"/>
        <v>877.48500000000001</v>
      </c>
      <c r="F21" s="778">
        <f t="shared" si="10"/>
        <v>862.72400000000005</v>
      </c>
      <c r="G21" s="778">
        <f t="shared" si="10"/>
        <v>1007.266</v>
      </c>
      <c r="H21" s="778">
        <f t="shared" si="10"/>
        <v>1088.671</v>
      </c>
      <c r="I21" s="562"/>
      <c r="J21" s="45"/>
      <c r="K21" s="302" t="s">
        <v>1029</v>
      </c>
      <c r="L21" s="302"/>
      <c r="M21" s="302"/>
      <c r="N21" s="302"/>
      <c r="O21" s="302"/>
      <c r="P21" s="302"/>
      <c r="Q21" s="302"/>
    </row>
    <row r="22" spans="1:29">
      <c r="B22" s="563" t="s">
        <v>1030</v>
      </c>
      <c r="C22" s="786">
        <f>AVERAGE(D10:G10)</f>
        <v>773.92499999999995</v>
      </c>
      <c r="D22" s="782">
        <f>AVERAGE(H10:K10)</f>
        <v>814.3</v>
      </c>
      <c r="E22" s="783"/>
      <c r="F22" s="562"/>
      <c r="G22" s="562"/>
      <c r="H22" s="562"/>
      <c r="I22" s="562"/>
      <c r="J22" s="45"/>
      <c r="K22" s="120" t="s">
        <v>1033</v>
      </c>
      <c r="L22" s="120"/>
      <c r="M22" s="120"/>
      <c r="N22" s="120"/>
      <c r="O22" s="120"/>
      <c r="P22" s="120"/>
      <c r="Q22" s="120"/>
      <c r="R22" s="120"/>
      <c r="S22" s="120"/>
    </row>
    <row r="23" spans="1:29">
      <c r="B23" s="563" t="s">
        <v>1015</v>
      </c>
      <c r="C23" s="787">
        <v>775.32100000000003</v>
      </c>
      <c r="D23" s="487">
        <v>834.85699999999997</v>
      </c>
      <c r="E23" s="487">
        <v>895.64800000000002</v>
      </c>
      <c r="F23" s="487">
        <v>964.53700000000003</v>
      </c>
      <c r="G23" s="487">
        <v>1038.6089999999999</v>
      </c>
      <c r="H23" s="487">
        <v>1117.1969999999999</v>
      </c>
      <c r="I23" s="487">
        <v>1200.6600000000001</v>
      </c>
      <c r="J23" s="488">
        <v>1286.6790000000001</v>
      </c>
      <c r="K23" s="120"/>
      <c r="L23" s="120"/>
      <c r="M23" s="120"/>
      <c r="N23" s="120"/>
      <c r="O23" s="120"/>
      <c r="P23" s="120"/>
      <c r="Q23" s="120"/>
      <c r="R23" s="120"/>
      <c r="S23" s="120"/>
    </row>
    <row r="24" spans="1:29">
      <c r="B24" s="781" t="s">
        <v>444</v>
      </c>
      <c r="C24" s="228"/>
      <c r="D24" s="47">
        <f>D23/C23-1</f>
        <v>7.6788839719290403E-2</v>
      </c>
      <c r="E24" s="47">
        <f>E23/D23-1</f>
        <v>7.2816063110209273E-2</v>
      </c>
      <c r="F24" s="47">
        <f>F23/E23-1</f>
        <v>7.6915261352674236E-2</v>
      </c>
      <c r="G24" s="47">
        <f t="shared" ref="G24:J24" si="11">G23/F23-1</f>
        <v>7.6795395096300068E-2</v>
      </c>
      <c r="H24" s="47">
        <f t="shared" si="11"/>
        <v>7.5666588677741009E-2</v>
      </c>
      <c r="I24" s="47">
        <f t="shared" si="11"/>
        <v>7.4707504585135975E-2</v>
      </c>
      <c r="J24" s="59">
        <f t="shared" si="11"/>
        <v>7.164309629703669E-2</v>
      </c>
      <c r="K24" s="120"/>
      <c r="L24" s="120"/>
      <c r="M24" s="120"/>
      <c r="N24" s="120"/>
      <c r="O24" s="120"/>
      <c r="P24" s="120"/>
      <c r="Q24" s="120"/>
      <c r="R24" s="120"/>
      <c r="S24" s="120"/>
    </row>
    <row r="25" spans="1:29">
      <c r="K25" s="120"/>
      <c r="L25" s="120"/>
      <c r="M25" s="120"/>
      <c r="N25" s="120"/>
      <c r="O25" s="120"/>
      <c r="P25" s="120"/>
      <c r="Q25" s="120"/>
      <c r="R25" s="120"/>
      <c r="S25" s="120"/>
    </row>
    <row r="26" spans="1:29">
      <c r="B26" s="562"/>
      <c r="C26" s="633"/>
      <c r="D26" s="633"/>
      <c r="E26" s="633"/>
      <c r="F26" s="633"/>
      <c r="G26" s="633"/>
      <c r="H26" s="633"/>
      <c r="I26" s="633"/>
      <c r="J26" s="633"/>
      <c r="K26" s="633"/>
      <c r="L26" s="633"/>
      <c r="M26" s="633"/>
      <c r="N26" s="633"/>
    </row>
  </sheetData>
  <mergeCells count="12">
    <mergeCell ref="B2:AC4"/>
    <mergeCell ref="B1:AC1"/>
    <mergeCell ref="B7:C9"/>
    <mergeCell ref="E8:H8"/>
    <mergeCell ref="I8:L8"/>
    <mergeCell ref="Q8:T8"/>
    <mergeCell ref="U8:X8"/>
    <mergeCell ref="D7:N7"/>
    <mergeCell ref="M8:N8"/>
    <mergeCell ref="O8:P8"/>
    <mergeCell ref="O7:AC7"/>
    <mergeCell ref="Y8:AB8"/>
  </mergeCells>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16580-0CE9-4235-A75E-3311AB1403A4}">
  <dimension ref="A1:AC55"/>
  <sheetViews>
    <sheetView zoomScale="75" workbookViewId="0">
      <selection activeCell="O22" sqref="O22"/>
    </sheetView>
  </sheetViews>
  <sheetFormatPr baseColWidth="10" defaultColWidth="8.83203125" defaultRowHeight="15"/>
  <cols>
    <col min="1" max="1" width="6" customWidth="1"/>
    <col min="2" max="2" width="29.6640625" customWidth="1"/>
    <col min="3" max="3" width="10.6640625" customWidth="1"/>
    <col min="4" max="7" width="10.6640625" style="560" customWidth="1"/>
  </cols>
  <sheetData>
    <row r="1" spans="1:29">
      <c r="B1" s="1372" t="s">
        <v>131</v>
      </c>
      <c r="C1" s="1372"/>
      <c r="D1" s="1372"/>
      <c r="E1" s="1372"/>
      <c r="F1" s="1372"/>
      <c r="G1" s="1372"/>
      <c r="H1" s="1372"/>
      <c r="I1" s="1372"/>
      <c r="J1" s="1372"/>
      <c r="K1" s="1372"/>
      <c r="L1" s="1372"/>
      <c r="M1" s="1372"/>
      <c r="N1" s="1372"/>
      <c r="O1" s="1372"/>
      <c r="P1" s="1372"/>
      <c r="Q1" s="1372"/>
      <c r="R1" s="1372"/>
      <c r="S1" s="1372"/>
      <c r="T1" s="1372"/>
      <c r="U1" s="1372"/>
      <c r="V1" s="1372"/>
      <c r="W1" s="1372"/>
      <c r="X1" s="1372"/>
      <c r="Y1" s="1372"/>
      <c r="Z1" s="1372"/>
      <c r="AA1" s="1372"/>
      <c r="AB1" s="1372"/>
      <c r="AC1" s="1372"/>
    </row>
    <row r="2" spans="1:29" ht="14.5" customHeight="1">
      <c r="B2" s="1397" t="s">
        <v>640</v>
      </c>
      <c r="C2" s="1397"/>
      <c r="D2" s="1397"/>
      <c r="E2" s="1397"/>
      <c r="F2" s="1397"/>
      <c r="G2" s="1397"/>
      <c r="H2" s="1397"/>
      <c r="I2" s="1397"/>
      <c r="J2" s="1397"/>
      <c r="K2" s="1397"/>
      <c r="L2" s="1397"/>
      <c r="M2" s="1397"/>
      <c r="N2" s="1397"/>
      <c r="O2" s="1397"/>
      <c r="P2" s="1397"/>
      <c r="Q2" s="1397"/>
      <c r="R2" s="1397"/>
      <c r="S2" s="1397"/>
      <c r="T2" s="1397"/>
      <c r="U2" s="1397"/>
      <c r="V2" s="1397"/>
      <c r="W2" s="1397"/>
      <c r="X2" s="1397"/>
      <c r="Y2" s="1397"/>
      <c r="Z2" s="1397"/>
      <c r="AA2" s="1397"/>
      <c r="AB2" s="1397"/>
      <c r="AC2" s="1397"/>
    </row>
    <row r="3" spans="1:29">
      <c r="B3" s="1397"/>
      <c r="C3" s="1397"/>
      <c r="D3" s="1397"/>
      <c r="E3" s="1397"/>
      <c r="F3" s="1397"/>
      <c r="G3" s="1397"/>
      <c r="H3" s="1397"/>
      <c r="I3" s="1397"/>
      <c r="J3" s="1397"/>
      <c r="K3" s="1397"/>
      <c r="L3" s="1397"/>
      <c r="M3" s="1397"/>
      <c r="N3" s="1397"/>
      <c r="O3" s="1397"/>
      <c r="P3" s="1397"/>
      <c r="Q3" s="1397"/>
      <c r="R3" s="1397"/>
      <c r="S3" s="1397"/>
      <c r="T3" s="1397"/>
      <c r="U3" s="1397"/>
      <c r="V3" s="1397"/>
      <c r="W3" s="1397"/>
      <c r="X3" s="1397"/>
      <c r="Y3" s="1397"/>
      <c r="Z3" s="1397"/>
      <c r="AA3" s="1397"/>
      <c r="AB3" s="1397"/>
      <c r="AC3" s="1397"/>
    </row>
    <row r="4" spans="1:29">
      <c r="B4" s="1397"/>
      <c r="C4" s="1397"/>
      <c r="D4" s="1397"/>
      <c r="E4" s="1397"/>
      <c r="F4" s="1397"/>
      <c r="G4" s="1397"/>
      <c r="H4" s="1397"/>
      <c r="I4" s="1397"/>
      <c r="J4" s="1397"/>
      <c r="K4" s="1397"/>
      <c r="L4" s="1397"/>
      <c r="M4" s="1397"/>
      <c r="N4" s="1397"/>
      <c r="O4" s="1397"/>
      <c r="P4" s="1397"/>
      <c r="Q4" s="1397"/>
      <c r="R4" s="1397"/>
      <c r="S4" s="1397"/>
      <c r="T4" s="1397"/>
      <c r="U4" s="1397"/>
      <c r="V4" s="1397"/>
      <c r="W4" s="1397"/>
      <c r="X4" s="1397"/>
      <c r="Y4" s="1397"/>
      <c r="Z4" s="1397"/>
      <c r="AA4" s="1397"/>
      <c r="AB4" s="1397"/>
      <c r="AC4" s="1397"/>
    </row>
    <row r="5" spans="1:29">
      <c r="B5" s="176"/>
      <c r="C5" s="36"/>
      <c r="D5" s="302"/>
      <c r="E5" s="302"/>
      <c r="F5" s="302"/>
      <c r="G5" s="302"/>
      <c r="H5" s="36"/>
      <c r="I5" s="36"/>
      <c r="J5" s="36"/>
      <c r="K5" s="36"/>
      <c r="L5" s="36"/>
      <c r="M5" s="36"/>
      <c r="N5" s="36"/>
      <c r="O5" s="36"/>
      <c r="P5" s="36"/>
      <c r="Q5" s="36"/>
      <c r="R5" s="36"/>
      <c r="S5" s="36"/>
      <c r="T5" s="36"/>
      <c r="U5" s="36"/>
      <c r="V5" s="36"/>
      <c r="W5" s="36"/>
      <c r="X5" s="36"/>
      <c r="Y5" s="36"/>
    </row>
    <row r="6" spans="1:29">
      <c r="B6" s="1390" t="s">
        <v>292</v>
      </c>
      <c r="C6" s="1391"/>
      <c r="D6" s="1402" t="s">
        <v>261</v>
      </c>
      <c r="E6" s="1403"/>
      <c r="F6" s="1403"/>
      <c r="G6" s="1403"/>
      <c r="H6" s="1403"/>
      <c r="I6" s="1403"/>
      <c r="J6" s="1403"/>
      <c r="K6" s="1403"/>
      <c r="L6" s="1403"/>
      <c r="M6" s="1387"/>
      <c r="N6" s="1425"/>
      <c r="O6" s="1388" t="s">
        <v>143</v>
      </c>
      <c r="P6" s="1437"/>
      <c r="Q6" s="1437"/>
      <c r="R6" s="1437"/>
      <c r="S6" s="1437"/>
      <c r="T6" s="1437"/>
      <c r="U6" s="1437"/>
      <c r="V6" s="1437"/>
      <c r="W6" s="1437"/>
      <c r="X6" s="1437"/>
      <c r="Y6" s="1399"/>
      <c r="Z6" s="1399"/>
      <c r="AA6" s="1399"/>
      <c r="AB6" s="1399"/>
      <c r="AC6" s="1400"/>
    </row>
    <row r="7" spans="1:29">
      <c r="B7" s="1392"/>
      <c r="C7" s="1393"/>
      <c r="D7" s="838">
        <v>2018</v>
      </c>
      <c r="E7" s="1373">
        <v>2019</v>
      </c>
      <c r="F7" s="1374"/>
      <c r="G7" s="1374"/>
      <c r="H7" s="1383"/>
      <c r="I7" s="1426">
        <v>2020</v>
      </c>
      <c r="J7" s="1374"/>
      <c r="K7" s="1374"/>
      <c r="L7" s="1374"/>
      <c r="M7" s="1373">
        <v>2021</v>
      </c>
      <c r="N7" s="1383"/>
      <c r="O7" s="1438">
        <v>2021</v>
      </c>
      <c r="P7" s="1439"/>
      <c r="Q7" s="1438">
        <v>2022</v>
      </c>
      <c r="R7" s="1442"/>
      <c r="S7" s="1442"/>
      <c r="T7" s="1442"/>
      <c r="U7" s="1438">
        <v>2023</v>
      </c>
      <c r="V7" s="1442"/>
      <c r="W7" s="1442"/>
      <c r="X7" s="1442"/>
      <c r="Y7" s="1396">
        <v>2024</v>
      </c>
      <c r="Z7" s="1401"/>
      <c r="AA7" s="1401"/>
      <c r="AB7" s="1401"/>
      <c r="AC7" s="475">
        <v>2025</v>
      </c>
    </row>
    <row r="8" spans="1:29">
      <c r="B8" s="1394"/>
      <c r="C8" s="1395"/>
      <c r="D8" s="224" t="s">
        <v>138</v>
      </c>
      <c r="E8" s="224" t="s">
        <v>135</v>
      </c>
      <c r="F8" s="200" t="s">
        <v>136</v>
      </c>
      <c r="G8" s="200" t="s">
        <v>137</v>
      </c>
      <c r="H8" s="208" t="s">
        <v>138</v>
      </c>
      <c r="I8" s="201" t="s">
        <v>135</v>
      </c>
      <c r="J8" s="201" t="s">
        <v>136</v>
      </c>
      <c r="K8" s="201" t="s">
        <v>137</v>
      </c>
      <c r="L8" s="201" t="s">
        <v>138</v>
      </c>
      <c r="M8" s="216" t="s">
        <v>135</v>
      </c>
      <c r="N8" s="208" t="s">
        <v>136</v>
      </c>
      <c r="O8" s="891" t="s">
        <v>137</v>
      </c>
      <c r="P8" s="893" t="s">
        <v>138</v>
      </c>
      <c r="Q8" s="891" t="s">
        <v>135</v>
      </c>
      <c r="R8" s="892" t="s">
        <v>136</v>
      </c>
      <c r="S8" s="892" t="s">
        <v>137</v>
      </c>
      <c r="T8" s="892" t="s">
        <v>138</v>
      </c>
      <c r="U8" s="891" t="s">
        <v>135</v>
      </c>
      <c r="V8" s="892" t="s">
        <v>136</v>
      </c>
      <c r="W8" s="892" t="s">
        <v>137</v>
      </c>
      <c r="X8" s="892" t="s">
        <v>138</v>
      </c>
      <c r="Y8" s="64" t="s">
        <v>135</v>
      </c>
      <c r="Z8" s="698" t="s">
        <v>136</v>
      </c>
      <c r="AA8" s="65" t="s">
        <v>137</v>
      </c>
      <c r="AB8" s="65" t="s">
        <v>138</v>
      </c>
      <c r="AC8" s="67" t="s">
        <v>135</v>
      </c>
    </row>
    <row r="9" spans="1:29">
      <c r="B9" s="186" t="s">
        <v>131</v>
      </c>
      <c r="C9" s="187" t="s">
        <v>241</v>
      </c>
      <c r="D9" s="965"/>
      <c r="E9" s="966"/>
      <c r="F9" s="966"/>
      <c r="G9" s="966"/>
      <c r="H9" s="966"/>
      <c r="I9" s="966"/>
      <c r="J9" s="170">
        <f>'Haver Pivoted'!GU45</f>
        <v>1078.0999999999999</v>
      </c>
      <c r="K9" s="170">
        <f>'Haver Pivoted'!GV45</f>
        <v>15.6</v>
      </c>
      <c r="L9" s="170">
        <f>'Haver Pivoted'!GW45</f>
        <v>5</v>
      </c>
      <c r="M9" s="170">
        <f>'Haver Pivoted'!GX45</f>
        <v>1933.7</v>
      </c>
      <c r="N9" s="170">
        <f>'Haver Pivoted'!GY45</f>
        <v>290.10000000000002</v>
      </c>
      <c r="O9" s="845"/>
      <c r="P9" s="846"/>
      <c r="Q9" s="846"/>
      <c r="R9" s="846"/>
      <c r="S9" s="846"/>
      <c r="T9" s="846"/>
      <c r="U9" s="846"/>
      <c r="V9" s="846"/>
      <c r="W9" s="846"/>
      <c r="X9" s="846"/>
      <c r="Y9" s="846"/>
      <c r="Z9" s="894"/>
      <c r="AA9" s="894"/>
      <c r="AB9" s="894"/>
      <c r="AC9" s="895"/>
    </row>
    <row r="10" spans="1:29">
      <c r="B10" s="188" t="s">
        <v>464</v>
      </c>
      <c r="C10" s="189"/>
      <c r="D10" s="967"/>
      <c r="E10" s="968"/>
      <c r="F10" s="968"/>
      <c r="G10" s="968"/>
      <c r="H10" s="968"/>
      <c r="I10" s="968"/>
      <c r="J10" s="969"/>
      <c r="K10" s="969"/>
      <c r="L10" s="969"/>
      <c r="M10" s="969">
        <f>M9-M11</f>
        <v>1348.1</v>
      </c>
      <c r="N10" s="969">
        <f>N9-N11</f>
        <v>290.10000000000002</v>
      </c>
      <c r="O10" s="973"/>
      <c r="P10" s="670"/>
      <c r="Q10" s="670">
        <f>'ARP Score'!B6*4/2</f>
        <v>34.93</v>
      </c>
      <c r="R10" s="670">
        <f>'ARP Score'!B6*4/2</f>
        <v>34.93</v>
      </c>
      <c r="S10" s="670"/>
      <c r="T10" s="670"/>
      <c r="U10" s="670"/>
      <c r="V10" s="670"/>
      <c r="W10" s="670"/>
      <c r="X10" s="670"/>
      <c r="Y10" s="670"/>
      <c r="Z10" s="670"/>
      <c r="AA10" s="670"/>
      <c r="AB10" s="670"/>
      <c r="AC10" s="1071"/>
    </row>
    <row r="11" spans="1:29" s="75" customFormat="1">
      <c r="B11" s="190" t="s">
        <v>522</v>
      </c>
      <c r="C11" s="191"/>
      <c r="D11" s="970"/>
      <c r="E11" s="971"/>
      <c r="F11" s="971"/>
      <c r="G11" s="971"/>
      <c r="H11" s="971"/>
      <c r="I11" s="971"/>
      <c r="J11" s="972">
        <f t="shared" ref="J11:L11" si="0">J9-J10</f>
        <v>1078.0999999999999</v>
      </c>
      <c r="K11" s="972">
        <f t="shared" si="0"/>
        <v>15.6</v>
      </c>
      <c r="L11" s="972">
        <f t="shared" si="0"/>
        <v>5</v>
      </c>
      <c r="M11" s="972">
        <f>SUM(C17:D17)/12*4</f>
        <v>585.6</v>
      </c>
      <c r="N11" s="972">
        <v>0</v>
      </c>
      <c r="O11" s="974"/>
      <c r="P11" s="671"/>
      <c r="Q11" s="671"/>
      <c r="R11" s="671"/>
      <c r="S11" s="671"/>
      <c r="T11" s="671"/>
      <c r="U11" s="671"/>
      <c r="V11" s="671"/>
      <c r="W11" s="671"/>
      <c r="X11" s="671"/>
      <c r="Y11" s="671"/>
      <c r="Z11" s="671"/>
      <c r="AA11" s="671"/>
      <c r="AB11" s="671"/>
      <c r="AC11" s="1072"/>
    </row>
    <row r="12" spans="1:29">
      <c r="B12" s="36"/>
      <c r="C12" s="36"/>
      <c r="D12" s="302"/>
      <c r="E12" s="302"/>
      <c r="F12" s="302"/>
      <c r="G12" s="302"/>
      <c r="H12" s="36"/>
      <c r="I12" s="36"/>
      <c r="J12" s="36"/>
      <c r="K12" s="36"/>
      <c r="L12" s="36"/>
      <c r="M12" s="36"/>
      <c r="N12" s="36"/>
      <c r="O12" s="36"/>
      <c r="P12" s="36"/>
      <c r="Q12" s="36"/>
      <c r="R12" s="36"/>
      <c r="S12" s="36"/>
      <c r="T12" s="36"/>
      <c r="U12" s="36"/>
      <c r="V12" s="36"/>
      <c r="W12" s="36"/>
      <c r="X12" s="36"/>
      <c r="Y12" s="36"/>
    </row>
    <row r="13" spans="1:29">
      <c r="A13" s="1470"/>
      <c r="B13" s="1470"/>
      <c r="C13" s="1470"/>
      <c r="D13" s="1470"/>
      <c r="E13" s="1470"/>
      <c r="F13" s="1470"/>
      <c r="G13" s="1470"/>
      <c r="H13" s="1470"/>
      <c r="I13" s="1470"/>
      <c r="J13" s="1470"/>
      <c r="K13" s="1470"/>
      <c r="L13" s="448"/>
      <c r="M13" s="448"/>
      <c r="N13" s="448"/>
      <c r="O13" s="202"/>
      <c r="P13" s="202"/>
      <c r="Q13" s="202"/>
      <c r="R13" s="202"/>
      <c r="S13" s="202"/>
      <c r="T13" s="36"/>
      <c r="U13" s="36"/>
      <c r="V13" s="36"/>
      <c r="W13" s="36"/>
      <c r="X13" s="36"/>
      <c r="Y13" s="36"/>
    </row>
    <row r="14" spans="1:29">
      <c r="A14" s="447"/>
      <c r="B14" s="202"/>
      <c r="C14" s="293"/>
      <c r="D14" s="293"/>
      <c r="E14" s="293"/>
      <c r="F14" s="293"/>
      <c r="G14" s="293"/>
      <c r="H14" s="293"/>
      <c r="I14" s="293"/>
      <c r="J14" s="293"/>
      <c r="K14" s="293"/>
      <c r="L14" s="293"/>
      <c r="M14" s="293"/>
      <c r="N14" s="1468"/>
      <c r="O14" s="1468"/>
      <c r="P14" s="1468"/>
      <c r="Q14" s="1468"/>
      <c r="R14" s="1468"/>
      <c r="S14" s="1468"/>
      <c r="T14" s="36"/>
      <c r="U14" s="36"/>
      <c r="V14" s="36"/>
      <c r="W14" s="36"/>
      <c r="X14" s="36"/>
      <c r="Y14" s="36"/>
    </row>
    <row r="15" spans="1:29">
      <c r="A15" s="385"/>
      <c r="B15" s="1466" t="s">
        <v>639</v>
      </c>
      <c r="C15" s="1367">
        <v>2021</v>
      </c>
      <c r="D15" s="1469"/>
      <c r="E15" s="1469"/>
      <c r="F15" s="1469"/>
      <c r="G15" s="666"/>
      <c r="H15" s="665"/>
      <c r="I15" s="665"/>
      <c r="J15" s="665"/>
      <c r="K15" s="1468"/>
      <c r="L15" s="1468"/>
      <c r="M15" s="1468"/>
      <c r="N15" s="1468"/>
      <c r="O15" s="1468"/>
      <c r="P15" s="1468"/>
      <c r="Q15" s="36"/>
      <c r="R15" s="36"/>
      <c r="S15" s="36"/>
      <c r="T15" s="36"/>
      <c r="U15" s="36"/>
      <c r="V15" s="36"/>
    </row>
    <row r="16" spans="1:29">
      <c r="A16" s="202"/>
      <c r="B16" s="1467"/>
      <c r="C16" s="451" t="s">
        <v>518</v>
      </c>
      <c r="D16" s="452" t="s">
        <v>519</v>
      </c>
      <c r="E16" s="452" t="s">
        <v>520</v>
      </c>
      <c r="F16" s="452" t="s">
        <v>521</v>
      </c>
      <c r="G16" s="667"/>
      <c r="H16" s="642"/>
      <c r="I16" s="642"/>
      <c r="J16" s="642"/>
      <c r="K16" s="385"/>
      <c r="L16" s="385"/>
      <c r="M16" s="385"/>
      <c r="N16" s="385"/>
      <c r="O16" s="385"/>
      <c r="P16" s="385"/>
      <c r="Q16" s="36"/>
      <c r="R16" s="36"/>
      <c r="S16" s="36"/>
      <c r="T16" s="36"/>
      <c r="U16" s="36"/>
      <c r="V16" s="36"/>
    </row>
    <row r="17" spans="1:25" ht="17">
      <c r="A17" s="202"/>
      <c r="B17" s="450" t="s">
        <v>637</v>
      </c>
      <c r="C17" s="668">
        <v>1660.9</v>
      </c>
      <c r="D17" s="668">
        <v>95.9</v>
      </c>
      <c r="E17" s="668">
        <v>4044.2</v>
      </c>
      <c r="F17" s="669">
        <v>688</v>
      </c>
      <c r="G17" s="449"/>
      <c r="H17" s="449"/>
      <c r="I17" s="449"/>
      <c r="J17" s="449"/>
      <c r="K17" s="449"/>
      <c r="L17" s="449"/>
      <c r="M17" s="36"/>
      <c r="N17" s="36"/>
      <c r="O17" s="36"/>
      <c r="P17" s="36"/>
      <c r="Q17" s="36"/>
      <c r="R17" s="36"/>
    </row>
    <row r="18" spans="1:25">
      <c r="A18" s="202"/>
      <c r="B18" s="453" t="s">
        <v>638</v>
      </c>
      <c r="C18" s="35"/>
      <c r="D18" s="562"/>
      <c r="E18" s="562"/>
      <c r="F18" s="562"/>
      <c r="G18" s="562"/>
      <c r="H18" s="35"/>
      <c r="I18" s="35"/>
      <c r="J18" s="35"/>
      <c r="K18" s="35"/>
      <c r="L18" s="35"/>
      <c r="M18" s="35"/>
      <c r="N18" s="35"/>
      <c r="O18" s="35"/>
      <c r="P18" s="35"/>
      <c r="Q18" s="35"/>
      <c r="R18" s="35"/>
      <c r="S18" s="35"/>
      <c r="T18" s="36"/>
      <c r="U18" s="36"/>
      <c r="V18" s="36"/>
      <c r="W18" s="36"/>
      <c r="X18" s="36"/>
      <c r="Y18" s="36"/>
    </row>
    <row r="19" spans="1:25">
      <c r="B19" s="36"/>
      <c r="C19" s="36"/>
      <c r="D19" s="302"/>
      <c r="E19" s="302"/>
      <c r="F19" s="302"/>
      <c r="G19" s="302"/>
      <c r="H19" s="36"/>
      <c r="I19" s="36"/>
      <c r="J19" s="36"/>
      <c r="K19" s="36"/>
      <c r="L19" s="36"/>
      <c r="M19" s="36"/>
      <c r="N19" s="36"/>
      <c r="O19" s="36"/>
      <c r="P19" s="36"/>
      <c r="Q19" s="36"/>
      <c r="R19" s="36"/>
      <c r="S19" s="36"/>
      <c r="T19" s="36"/>
      <c r="U19" s="36"/>
      <c r="V19" s="36"/>
      <c r="W19" s="36"/>
      <c r="X19" s="36"/>
      <c r="Y19" s="36"/>
    </row>
    <row r="20" spans="1:25">
      <c r="B20" s="294"/>
      <c r="C20" s="36"/>
      <c r="D20" s="302"/>
      <c r="E20" s="302"/>
      <c r="F20" s="302"/>
      <c r="G20" s="302"/>
      <c r="H20" s="36"/>
      <c r="I20" s="36"/>
      <c r="J20" s="36"/>
      <c r="K20" s="36"/>
      <c r="L20" s="36"/>
      <c r="M20" s="36"/>
      <c r="N20" s="36"/>
      <c r="O20" s="36"/>
      <c r="P20" s="36"/>
      <c r="Q20" s="36"/>
      <c r="R20" s="36"/>
      <c r="S20" s="36"/>
      <c r="T20" s="36"/>
      <c r="U20" s="36"/>
      <c r="V20" s="36"/>
      <c r="W20" s="36"/>
      <c r="X20" s="36"/>
      <c r="Y20" s="36"/>
    </row>
    <row r="21" spans="1:25">
      <c r="B21" s="36"/>
      <c r="C21" s="36"/>
      <c r="D21" s="302"/>
      <c r="E21" s="302"/>
      <c r="F21" s="302"/>
      <c r="G21" s="302"/>
      <c r="H21" s="36"/>
      <c r="I21" s="36"/>
      <c r="J21" s="36"/>
      <c r="K21" s="36"/>
      <c r="L21" s="36"/>
      <c r="M21" s="36"/>
      <c r="N21" s="36"/>
      <c r="O21" s="36"/>
      <c r="P21" s="36"/>
      <c r="Q21" s="36"/>
      <c r="R21" s="36"/>
      <c r="S21" s="36"/>
      <c r="T21" s="36"/>
      <c r="U21" s="36"/>
      <c r="V21" s="36"/>
      <c r="W21" s="36"/>
      <c r="X21" s="36"/>
      <c r="Y21" s="36"/>
    </row>
    <row r="22" spans="1:25">
      <c r="B22" s="36"/>
      <c r="C22" s="36"/>
      <c r="D22" s="302"/>
      <c r="E22" s="302"/>
      <c r="F22" s="302"/>
      <c r="G22" s="302"/>
      <c r="H22" s="36"/>
      <c r="I22" s="36"/>
      <c r="J22" s="36"/>
      <c r="K22" s="36"/>
      <c r="L22" s="36"/>
      <c r="M22" s="36"/>
      <c r="N22" s="36"/>
      <c r="O22" s="36"/>
      <c r="P22" s="36"/>
      <c r="Q22" s="36"/>
      <c r="R22" s="36"/>
      <c r="S22" s="36"/>
      <c r="T22" s="36"/>
      <c r="U22" s="36"/>
      <c r="V22" s="36"/>
      <c r="W22" s="36"/>
      <c r="X22" s="36"/>
      <c r="Y22" s="36"/>
    </row>
    <row r="23" spans="1:25">
      <c r="B23" s="36"/>
      <c r="C23" s="36"/>
      <c r="D23" s="302"/>
      <c r="E23" s="302"/>
      <c r="F23" s="302"/>
      <c r="G23" s="302"/>
      <c r="H23" s="36"/>
      <c r="I23" s="36"/>
      <c r="J23" s="36"/>
      <c r="K23" s="36"/>
      <c r="L23" s="36"/>
      <c r="M23" s="36"/>
      <c r="N23" s="36"/>
      <c r="O23" s="36"/>
      <c r="P23" s="36"/>
      <c r="Q23" s="36"/>
      <c r="R23" s="36"/>
      <c r="S23" s="36"/>
      <c r="T23" s="36"/>
      <c r="U23" s="36"/>
      <c r="V23" s="36"/>
      <c r="W23" s="36"/>
      <c r="X23" s="36"/>
      <c r="Y23" s="36"/>
    </row>
    <row r="24" spans="1:25">
      <c r="B24" s="36"/>
      <c r="C24" s="36"/>
      <c r="D24" s="302"/>
      <c r="E24" s="302"/>
      <c r="F24" s="302"/>
      <c r="G24" s="302"/>
      <c r="H24" s="36"/>
      <c r="I24" s="36"/>
      <c r="J24" s="36"/>
      <c r="K24" s="36"/>
      <c r="L24" s="36"/>
      <c r="M24" s="36"/>
      <c r="N24" s="36"/>
      <c r="O24" s="36"/>
      <c r="P24" s="36"/>
      <c r="Q24" s="36"/>
      <c r="R24" s="36"/>
      <c r="S24" s="36"/>
      <c r="T24" s="36"/>
      <c r="U24" s="36"/>
      <c r="V24" s="36"/>
      <c r="W24" s="36"/>
      <c r="X24" s="36"/>
      <c r="Y24" s="36"/>
    </row>
    <row r="25" spans="1:25">
      <c r="B25" s="36"/>
      <c r="C25" s="36"/>
      <c r="D25" s="302"/>
      <c r="E25" s="302"/>
      <c r="F25" s="302"/>
      <c r="G25" s="302"/>
      <c r="H25" s="36"/>
      <c r="I25" s="36"/>
      <c r="J25" s="36"/>
      <c r="K25" s="36"/>
      <c r="L25" s="36"/>
      <c r="M25" s="36"/>
      <c r="N25" s="36"/>
      <c r="O25" s="36"/>
      <c r="P25" s="36"/>
      <c r="Q25" s="36"/>
      <c r="R25" s="36"/>
      <c r="S25" s="36"/>
      <c r="T25" s="36"/>
      <c r="U25" s="36"/>
      <c r="V25" s="36"/>
      <c r="W25" s="36"/>
      <c r="X25" s="36"/>
      <c r="Y25" s="36"/>
    </row>
    <row r="26" spans="1:25">
      <c r="B26" s="36"/>
      <c r="C26" s="36"/>
      <c r="D26" s="302"/>
      <c r="E26" s="302"/>
      <c r="F26" s="302"/>
      <c r="G26" s="302"/>
      <c r="H26" s="36"/>
      <c r="I26" s="36"/>
      <c r="J26" s="36"/>
      <c r="K26" s="36"/>
      <c r="L26" s="36"/>
      <c r="M26" s="36"/>
      <c r="N26" s="36"/>
      <c r="O26" s="36"/>
      <c r="P26" s="36"/>
      <c r="Q26" s="36"/>
      <c r="R26" s="36"/>
      <c r="S26" s="36"/>
      <c r="T26" s="36"/>
      <c r="U26" s="36"/>
      <c r="V26" s="36"/>
      <c r="W26" s="36"/>
      <c r="X26" s="36"/>
      <c r="Y26" s="36"/>
    </row>
    <row r="27" spans="1:25">
      <c r="B27" s="36"/>
      <c r="C27" s="36"/>
      <c r="D27" s="302"/>
      <c r="E27" s="302"/>
      <c r="F27" s="302"/>
      <c r="G27" s="302"/>
      <c r="H27" s="36"/>
      <c r="I27" s="36"/>
      <c r="J27" s="36"/>
      <c r="K27" s="36"/>
      <c r="L27" s="36"/>
      <c r="M27" s="36"/>
      <c r="N27" s="36"/>
      <c r="O27" s="36"/>
      <c r="P27" s="36"/>
      <c r="Q27" s="36"/>
      <c r="R27" s="36"/>
      <c r="S27" s="36"/>
      <c r="T27" s="36"/>
      <c r="U27" s="36"/>
      <c r="V27" s="36"/>
      <c r="W27" s="36"/>
      <c r="X27" s="36"/>
      <c r="Y27" s="36"/>
    </row>
    <row r="28" spans="1:25">
      <c r="B28" s="36"/>
      <c r="C28" s="36"/>
      <c r="D28" s="302"/>
      <c r="E28" s="302"/>
      <c r="F28" s="302"/>
      <c r="G28" s="302"/>
      <c r="H28" s="36"/>
      <c r="I28" s="36"/>
      <c r="J28" s="36"/>
      <c r="K28" s="36"/>
      <c r="L28" s="36"/>
      <c r="M28" s="36"/>
      <c r="N28" s="36"/>
      <c r="O28" s="36"/>
      <c r="P28" s="36"/>
      <c r="Q28" s="36"/>
      <c r="R28" s="36"/>
      <c r="S28" s="36"/>
      <c r="T28" s="36"/>
      <c r="U28" s="36"/>
      <c r="V28" s="36"/>
      <c r="W28" s="36"/>
      <c r="X28" s="36"/>
      <c r="Y28" s="36"/>
    </row>
    <row r="29" spans="1:25">
      <c r="B29" s="36"/>
      <c r="C29" s="36"/>
      <c r="D29" s="302"/>
      <c r="E29" s="302"/>
      <c r="F29" s="302"/>
      <c r="G29" s="302"/>
      <c r="H29" s="36"/>
      <c r="I29" s="36"/>
      <c r="J29" s="36"/>
      <c r="K29" s="36"/>
      <c r="L29" s="36"/>
      <c r="M29" s="36"/>
      <c r="N29" s="36"/>
      <c r="O29" s="36"/>
      <c r="P29" s="36"/>
      <c r="Q29" s="36"/>
      <c r="R29" s="36"/>
      <c r="S29" s="36"/>
      <c r="T29" s="36"/>
      <c r="U29" s="36"/>
      <c r="V29" s="36"/>
      <c r="W29" s="36"/>
      <c r="X29" s="36"/>
      <c r="Y29" s="36"/>
    </row>
    <row r="30" spans="1:25">
      <c r="B30" s="36"/>
      <c r="C30" s="36"/>
      <c r="D30" s="302"/>
      <c r="E30" s="302"/>
      <c r="F30" s="302"/>
      <c r="G30" s="302"/>
      <c r="H30" s="36"/>
      <c r="I30" s="36"/>
      <c r="J30" s="36"/>
      <c r="K30" s="36"/>
      <c r="L30" s="36"/>
      <c r="M30" s="36"/>
      <c r="N30" s="36"/>
      <c r="O30" s="36"/>
      <c r="P30" s="36"/>
      <c r="Q30" s="36"/>
      <c r="R30" s="36"/>
      <c r="S30" s="36"/>
      <c r="T30" s="36"/>
      <c r="U30" s="36"/>
      <c r="V30" s="36"/>
      <c r="W30" s="36"/>
      <c r="X30" s="36"/>
      <c r="Y30" s="36"/>
    </row>
    <row r="31" spans="1:25">
      <c r="B31" s="36"/>
      <c r="C31" s="36"/>
      <c r="D31" s="302"/>
      <c r="E31" s="302"/>
      <c r="F31" s="302"/>
      <c r="G31" s="302"/>
      <c r="H31" s="36"/>
      <c r="I31" s="36"/>
      <c r="J31" s="36"/>
      <c r="K31" s="36"/>
      <c r="L31" s="36"/>
      <c r="M31" s="36"/>
      <c r="N31" s="36"/>
      <c r="O31" s="36"/>
      <c r="P31" s="36"/>
      <c r="Q31" s="36"/>
      <c r="R31" s="36"/>
      <c r="S31" s="36"/>
      <c r="T31" s="36"/>
      <c r="U31" s="36"/>
      <c r="V31" s="36"/>
      <c r="W31" s="36"/>
      <c r="X31" s="36"/>
      <c r="Y31" s="36"/>
    </row>
    <row r="32" spans="1:25">
      <c r="B32" s="36"/>
      <c r="C32" s="36"/>
      <c r="D32" s="302"/>
      <c r="E32" s="302"/>
      <c r="F32" s="302"/>
      <c r="G32" s="302"/>
      <c r="H32" s="36"/>
      <c r="I32" s="36"/>
      <c r="J32" s="36"/>
      <c r="K32" s="36"/>
      <c r="L32" s="36"/>
      <c r="M32" s="36"/>
      <c r="N32" s="36"/>
      <c r="O32" s="36"/>
      <c r="P32" s="36"/>
      <c r="Q32" s="36"/>
      <c r="R32" s="36"/>
      <c r="S32" s="36"/>
      <c r="T32" s="36"/>
      <c r="U32" s="36"/>
      <c r="V32" s="36"/>
      <c r="W32" s="36"/>
      <c r="X32" s="36"/>
      <c r="Y32" s="36"/>
    </row>
    <row r="33" spans="2:25">
      <c r="B33" s="36"/>
      <c r="C33" s="36"/>
      <c r="D33" s="302"/>
      <c r="E33" s="302"/>
      <c r="F33" s="302"/>
      <c r="G33" s="302"/>
      <c r="H33" s="36"/>
      <c r="I33" s="36"/>
      <c r="J33" s="36"/>
      <c r="K33" s="36"/>
      <c r="L33" s="36"/>
      <c r="M33" s="36"/>
      <c r="N33" s="36"/>
      <c r="O33" s="36"/>
      <c r="P33" s="36"/>
      <c r="Q33" s="36"/>
      <c r="R33" s="36"/>
      <c r="S33" s="36"/>
      <c r="T33" s="36"/>
      <c r="U33" s="36"/>
      <c r="V33" s="36"/>
      <c r="W33" s="36"/>
      <c r="X33" s="36"/>
      <c r="Y33" s="36"/>
    </row>
    <row r="34" spans="2:25">
      <c r="B34" s="36"/>
      <c r="C34" s="36"/>
      <c r="D34" s="302"/>
      <c r="E34" s="302"/>
      <c r="F34" s="302"/>
      <c r="G34" s="302"/>
      <c r="H34" s="36"/>
      <c r="I34" s="36"/>
      <c r="J34" s="36"/>
      <c r="K34" s="36"/>
      <c r="L34" s="36"/>
      <c r="M34" s="36"/>
      <c r="N34" s="36"/>
      <c r="O34" s="36"/>
      <c r="P34" s="36"/>
      <c r="Q34" s="36"/>
      <c r="R34" s="36"/>
      <c r="S34" s="36"/>
      <c r="T34" s="36"/>
      <c r="U34" s="36"/>
      <c r="V34" s="36"/>
      <c r="W34" s="36"/>
      <c r="X34" s="36"/>
      <c r="Y34" s="36"/>
    </row>
    <row r="35" spans="2:25">
      <c r="B35" s="36"/>
      <c r="C35" s="36"/>
      <c r="D35" s="302"/>
      <c r="E35" s="302"/>
      <c r="F35" s="302"/>
      <c r="G35" s="302"/>
      <c r="H35" s="36"/>
      <c r="I35" s="36"/>
      <c r="J35" s="36"/>
      <c r="K35" s="36"/>
      <c r="L35" s="36"/>
      <c r="M35" s="36"/>
      <c r="N35" s="36"/>
      <c r="O35" s="36"/>
      <c r="P35" s="36"/>
      <c r="Q35" s="36"/>
      <c r="R35" s="36"/>
      <c r="S35" s="36"/>
      <c r="T35" s="36"/>
      <c r="U35" s="36"/>
      <c r="V35" s="36"/>
      <c r="W35" s="36"/>
      <c r="X35" s="36"/>
      <c r="Y35" s="36"/>
    </row>
    <row r="36" spans="2:25">
      <c r="B36" s="36"/>
      <c r="C36" s="36"/>
      <c r="D36" s="302"/>
      <c r="E36" s="302"/>
      <c r="F36" s="302"/>
      <c r="G36" s="302"/>
      <c r="H36" s="36"/>
      <c r="I36" s="36"/>
      <c r="J36" s="36"/>
      <c r="K36" s="36"/>
      <c r="L36" s="36"/>
      <c r="M36" s="36"/>
      <c r="N36" s="36"/>
      <c r="O36" s="36"/>
      <c r="P36" s="36"/>
      <c r="Q36" s="36"/>
      <c r="R36" s="36"/>
      <c r="S36" s="36"/>
      <c r="T36" s="36"/>
      <c r="U36" s="36"/>
      <c r="V36" s="36"/>
      <c r="W36" s="36"/>
      <c r="X36" s="36"/>
      <c r="Y36" s="36"/>
    </row>
    <row r="37" spans="2:25">
      <c r="B37" s="36"/>
      <c r="C37" s="36"/>
      <c r="D37" s="302"/>
      <c r="E37" s="302"/>
      <c r="F37" s="302"/>
      <c r="G37" s="302"/>
      <c r="H37" s="36"/>
      <c r="I37" s="36"/>
      <c r="J37" s="36"/>
      <c r="K37" s="36"/>
      <c r="L37" s="36"/>
      <c r="M37" s="36"/>
      <c r="N37" s="36"/>
      <c r="O37" s="36"/>
      <c r="P37" s="36"/>
      <c r="Q37" s="36"/>
      <c r="R37" s="36"/>
      <c r="S37" s="36"/>
      <c r="T37" s="36"/>
      <c r="U37" s="36"/>
      <c r="V37" s="36"/>
      <c r="W37" s="36"/>
      <c r="X37" s="36"/>
      <c r="Y37" s="36"/>
    </row>
    <row r="38" spans="2:25">
      <c r="B38" s="36"/>
      <c r="C38" s="36"/>
      <c r="D38" s="302"/>
      <c r="E38" s="302"/>
      <c r="F38" s="302"/>
      <c r="G38" s="302"/>
      <c r="H38" s="36"/>
      <c r="I38" s="36"/>
      <c r="J38" s="36"/>
      <c r="K38" s="36"/>
      <c r="L38" s="36"/>
      <c r="M38" s="36"/>
      <c r="N38" s="36"/>
      <c r="O38" s="36"/>
      <c r="P38" s="36"/>
      <c r="Q38" s="36"/>
      <c r="R38" s="36"/>
      <c r="S38" s="36"/>
      <c r="T38" s="36"/>
      <c r="U38" s="36"/>
      <c r="V38" s="36"/>
      <c r="W38" s="36"/>
      <c r="X38" s="36"/>
      <c r="Y38" s="36"/>
    </row>
    <row r="39" spans="2:25">
      <c r="B39" s="36"/>
      <c r="C39" s="36"/>
      <c r="D39" s="302"/>
      <c r="E39" s="302"/>
      <c r="F39" s="302"/>
      <c r="G39" s="302"/>
      <c r="H39" s="36"/>
      <c r="I39" s="36"/>
      <c r="J39" s="36"/>
      <c r="K39" s="36"/>
      <c r="L39" s="36"/>
      <c r="M39" s="36"/>
      <c r="N39" s="36"/>
      <c r="O39" s="36"/>
      <c r="P39" s="36"/>
      <c r="Q39" s="36"/>
      <c r="R39" s="36"/>
      <c r="S39" s="36"/>
      <c r="T39" s="36"/>
      <c r="U39" s="36"/>
      <c r="V39" s="36"/>
      <c r="W39" s="36"/>
      <c r="X39" s="36"/>
      <c r="Y39" s="36"/>
    </row>
    <row r="40" spans="2:25">
      <c r="B40" s="36"/>
      <c r="C40" s="36"/>
      <c r="D40" s="302"/>
      <c r="E40" s="302"/>
      <c r="F40" s="302"/>
      <c r="G40" s="302"/>
      <c r="H40" s="36"/>
      <c r="I40" s="36"/>
      <c r="J40" s="36"/>
      <c r="K40" s="36"/>
      <c r="L40" s="36"/>
      <c r="M40" s="36"/>
      <c r="N40" s="36"/>
      <c r="O40" s="36"/>
      <c r="P40" s="36"/>
      <c r="Q40" s="36"/>
      <c r="R40" s="36"/>
      <c r="S40" s="36"/>
      <c r="T40" s="36"/>
      <c r="U40" s="36"/>
      <c r="V40" s="36"/>
      <c r="W40" s="36"/>
      <c r="X40" s="36"/>
      <c r="Y40" s="36"/>
    </row>
    <row r="41" spans="2:25">
      <c r="B41" s="36"/>
      <c r="C41" s="36"/>
      <c r="D41" s="302"/>
      <c r="E41" s="302"/>
      <c r="F41" s="302"/>
      <c r="G41" s="302"/>
      <c r="H41" s="36"/>
      <c r="I41" s="36"/>
      <c r="J41" s="36"/>
      <c r="K41" s="36"/>
      <c r="L41" s="36"/>
      <c r="M41" s="36"/>
      <c r="N41" s="36"/>
      <c r="O41" s="36"/>
      <c r="P41" s="36"/>
      <c r="Q41" s="36"/>
      <c r="R41" s="36"/>
      <c r="S41" s="36"/>
      <c r="T41" s="36"/>
      <c r="U41" s="36"/>
      <c r="V41" s="36"/>
      <c r="W41" s="36"/>
      <c r="X41" s="36"/>
      <c r="Y41" s="36"/>
    </row>
    <row r="42" spans="2:25">
      <c r="B42" s="36"/>
      <c r="C42" s="36"/>
      <c r="D42" s="302"/>
      <c r="E42" s="302"/>
      <c r="F42" s="302"/>
      <c r="G42" s="302"/>
      <c r="H42" s="36"/>
      <c r="I42" s="36"/>
      <c r="J42" s="36"/>
      <c r="K42" s="36"/>
      <c r="L42" s="36"/>
      <c r="M42" s="36"/>
      <c r="N42" s="36"/>
      <c r="O42" s="36"/>
      <c r="P42" s="36"/>
      <c r="Q42" s="36"/>
      <c r="R42" s="36"/>
      <c r="S42" s="36"/>
      <c r="T42" s="36"/>
      <c r="U42" s="36"/>
      <c r="V42" s="36"/>
      <c r="W42" s="36"/>
      <c r="X42" s="36"/>
      <c r="Y42" s="36"/>
    </row>
    <row r="43" spans="2:25">
      <c r="B43" s="36"/>
      <c r="C43" s="36"/>
      <c r="D43" s="302"/>
      <c r="E43" s="302"/>
      <c r="F43" s="302"/>
      <c r="G43" s="302"/>
      <c r="H43" s="36"/>
      <c r="I43" s="36"/>
      <c r="J43" s="36"/>
      <c r="K43" s="36"/>
      <c r="L43" s="36"/>
      <c r="M43" s="36"/>
      <c r="N43" s="36"/>
      <c r="O43" s="36"/>
      <c r="P43" s="36"/>
      <c r="Q43" s="36"/>
      <c r="R43" s="36"/>
      <c r="S43" s="36"/>
      <c r="T43" s="36"/>
      <c r="U43" s="36"/>
      <c r="V43" s="36"/>
      <c r="W43" s="36"/>
      <c r="X43" s="36"/>
      <c r="Y43" s="36"/>
    </row>
    <row r="44" spans="2:25">
      <c r="B44" s="36"/>
      <c r="C44" s="36"/>
      <c r="D44" s="302"/>
      <c r="E44" s="302"/>
      <c r="F44" s="302"/>
      <c r="G44" s="302"/>
      <c r="H44" s="36"/>
      <c r="I44" s="36"/>
      <c r="J44" s="36"/>
      <c r="K44" s="36"/>
      <c r="L44" s="36"/>
      <c r="M44" s="36"/>
      <c r="N44" s="36"/>
      <c r="O44" s="36"/>
      <c r="P44" s="36"/>
      <c r="Q44" s="36"/>
      <c r="R44" s="36"/>
      <c r="S44" s="36"/>
      <c r="T44" s="36"/>
      <c r="U44" s="36"/>
      <c r="V44" s="36"/>
      <c r="W44" s="36"/>
      <c r="X44" s="36"/>
      <c r="Y44" s="36"/>
    </row>
    <row r="45" spans="2:25">
      <c r="B45" s="36"/>
      <c r="C45" s="36"/>
      <c r="D45" s="302"/>
      <c r="E45" s="302"/>
      <c r="F45" s="302"/>
      <c r="G45" s="302"/>
      <c r="H45" s="36"/>
      <c r="I45" s="36"/>
      <c r="J45" s="36"/>
      <c r="K45" s="36"/>
      <c r="L45" s="36"/>
      <c r="M45" s="36"/>
      <c r="N45" s="36"/>
      <c r="O45" s="36"/>
      <c r="P45" s="36"/>
      <c r="Q45" s="36"/>
      <c r="R45" s="36"/>
      <c r="S45" s="36"/>
      <c r="T45" s="36"/>
      <c r="U45" s="36"/>
      <c r="V45" s="36"/>
      <c r="W45" s="36"/>
      <c r="X45" s="36"/>
      <c r="Y45" s="36"/>
    </row>
    <row r="46" spans="2:25">
      <c r="B46" s="36"/>
      <c r="C46" s="36"/>
      <c r="D46" s="302"/>
      <c r="E46" s="302"/>
      <c r="F46" s="302"/>
      <c r="G46" s="302"/>
      <c r="H46" s="36"/>
      <c r="I46" s="36"/>
      <c r="J46" s="36"/>
      <c r="K46" s="36"/>
      <c r="L46" s="36"/>
      <c r="M46" s="36"/>
      <c r="N46" s="36"/>
      <c r="O46" s="36"/>
      <c r="P46" s="36"/>
      <c r="Q46" s="36"/>
      <c r="R46" s="36"/>
      <c r="S46" s="36"/>
      <c r="T46" s="36"/>
      <c r="U46" s="36"/>
      <c r="V46" s="36"/>
      <c r="W46" s="36"/>
      <c r="X46" s="36"/>
      <c r="Y46" s="36"/>
    </row>
    <row r="47" spans="2:25">
      <c r="B47" s="36"/>
      <c r="C47" s="36"/>
      <c r="D47" s="302"/>
      <c r="E47" s="302"/>
      <c r="F47" s="302"/>
      <c r="G47" s="302"/>
      <c r="H47" s="36"/>
      <c r="I47" s="36"/>
      <c r="J47" s="36"/>
      <c r="K47" s="36"/>
      <c r="L47" s="36"/>
      <c r="M47" s="36"/>
      <c r="N47" s="36"/>
      <c r="O47" s="36"/>
      <c r="P47" s="36"/>
      <c r="Q47" s="36"/>
      <c r="R47" s="36"/>
      <c r="S47" s="36"/>
      <c r="T47" s="36"/>
      <c r="U47" s="36"/>
      <c r="V47" s="36"/>
      <c r="W47" s="36"/>
      <c r="X47" s="36"/>
      <c r="Y47" s="36"/>
    </row>
    <row r="48" spans="2:25">
      <c r="B48" s="36"/>
      <c r="C48" s="36"/>
      <c r="D48" s="302"/>
      <c r="E48" s="302"/>
      <c r="F48" s="302"/>
      <c r="G48" s="302"/>
      <c r="H48" s="36"/>
      <c r="I48" s="36"/>
      <c r="J48" s="36"/>
      <c r="K48" s="36"/>
      <c r="L48" s="36"/>
      <c r="M48" s="36"/>
      <c r="N48" s="36"/>
      <c r="O48" s="36"/>
      <c r="P48" s="36"/>
      <c r="Q48" s="36"/>
      <c r="R48" s="36"/>
      <c r="S48" s="36"/>
      <c r="T48" s="36"/>
      <c r="U48" s="36"/>
      <c r="V48" s="36"/>
      <c r="W48" s="36"/>
      <c r="X48" s="36"/>
      <c r="Y48" s="36"/>
    </row>
    <row r="49" spans="2:25">
      <c r="B49" s="36"/>
      <c r="C49" s="36"/>
      <c r="D49" s="302"/>
      <c r="E49" s="302"/>
      <c r="F49" s="302"/>
      <c r="G49" s="302"/>
      <c r="H49" s="36"/>
      <c r="I49" s="36"/>
      <c r="J49" s="36"/>
      <c r="K49" s="36"/>
      <c r="L49" s="36"/>
      <c r="M49" s="36"/>
      <c r="N49" s="36"/>
      <c r="O49" s="36"/>
      <c r="P49" s="36"/>
      <c r="Q49" s="36"/>
      <c r="R49" s="36"/>
      <c r="S49" s="36"/>
      <c r="T49" s="36"/>
      <c r="U49" s="36"/>
      <c r="V49" s="36"/>
      <c r="W49" s="36"/>
      <c r="X49" s="36"/>
      <c r="Y49" s="36"/>
    </row>
    <row r="50" spans="2:25">
      <c r="B50" s="36"/>
      <c r="C50" s="36"/>
      <c r="D50" s="302"/>
      <c r="E50" s="302"/>
      <c r="F50" s="302"/>
      <c r="G50" s="302"/>
      <c r="H50" s="36"/>
      <c r="I50" s="36"/>
      <c r="J50" s="36"/>
      <c r="K50" s="36"/>
      <c r="L50" s="36"/>
      <c r="M50" s="36"/>
      <c r="N50" s="36"/>
      <c r="O50" s="36"/>
      <c r="P50" s="36"/>
      <c r="Q50" s="36"/>
      <c r="R50" s="36"/>
      <c r="S50" s="36"/>
      <c r="T50" s="36"/>
      <c r="U50" s="36"/>
      <c r="V50" s="36"/>
      <c r="W50" s="36"/>
      <c r="X50" s="36"/>
      <c r="Y50" s="36"/>
    </row>
    <row r="51" spans="2:25">
      <c r="B51" s="36"/>
      <c r="C51" s="36"/>
      <c r="D51" s="302"/>
      <c r="E51" s="302"/>
      <c r="F51" s="302"/>
      <c r="G51" s="302"/>
      <c r="H51" s="36"/>
      <c r="I51" s="36"/>
      <c r="J51" s="36"/>
      <c r="K51" s="36"/>
      <c r="L51" s="36"/>
      <c r="M51" s="36"/>
      <c r="N51" s="36"/>
      <c r="O51" s="36"/>
      <c r="P51" s="36"/>
      <c r="Q51" s="36"/>
      <c r="R51" s="36"/>
      <c r="S51" s="36"/>
      <c r="T51" s="36"/>
      <c r="U51" s="36"/>
      <c r="V51" s="36"/>
      <c r="W51" s="36"/>
      <c r="X51" s="36"/>
      <c r="Y51" s="36"/>
    </row>
    <row r="52" spans="2:25">
      <c r="B52" s="36"/>
      <c r="C52" s="36"/>
      <c r="D52" s="302"/>
      <c r="E52" s="302"/>
      <c r="F52" s="302"/>
      <c r="G52" s="302"/>
      <c r="H52" s="36"/>
      <c r="I52" s="36"/>
      <c r="J52" s="36"/>
      <c r="K52" s="36"/>
      <c r="L52" s="36"/>
      <c r="M52" s="36"/>
      <c r="N52" s="36"/>
      <c r="O52" s="36"/>
      <c r="P52" s="36"/>
      <c r="Q52" s="36"/>
      <c r="R52" s="36"/>
      <c r="S52" s="36"/>
      <c r="T52" s="36"/>
      <c r="U52" s="36"/>
      <c r="V52" s="36"/>
      <c r="W52" s="36"/>
      <c r="X52" s="36"/>
      <c r="Y52" s="36"/>
    </row>
    <row r="53" spans="2:25">
      <c r="B53" s="36"/>
      <c r="C53" s="36"/>
      <c r="D53" s="302"/>
      <c r="E53" s="302"/>
      <c r="F53" s="302"/>
      <c r="G53" s="302"/>
      <c r="H53" s="36"/>
      <c r="I53" s="36"/>
      <c r="J53" s="36"/>
      <c r="K53" s="36"/>
      <c r="L53" s="36"/>
      <c r="M53" s="36"/>
      <c r="N53" s="36"/>
      <c r="O53" s="36"/>
      <c r="P53" s="36"/>
      <c r="Q53" s="36"/>
      <c r="R53" s="36"/>
      <c r="S53" s="36"/>
      <c r="T53" s="36"/>
      <c r="U53" s="36"/>
      <c r="V53" s="36"/>
      <c r="W53" s="36"/>
      <c r="X53" s="36"/>
      <c r="Y53" s="36"/>
    </row>
    <row r="54" spans="2:25">
      <c r="B54" s="36"/>
      <c r="C54" s="36"/>
      <c r="D54" s="302"/>
      <c r="E54" s="302"/>
      <c r="F54" s="302"/>
      <c r="G54" s="302"/>
      <c r="H54" s="36"/>
      <c r="I54" s="36"/>
      <c r="J54" s="36"/>
      <c r="K54" s="36"/>
      <c r="L54" s="36"/>
      <c r="M54" s="36"/>
      <c r="N54" s="36"/>
      <c r="O54" s="36"/>
      <c r="P54" s="36"/>
      <c r="Q54" s="36"/>
      <c r="R54" s="36"/>
      <c r="S54" s="36"/>
      <c r="T54" s="36"/>
      <c r="U54" s="36"/>
      <c r="V54" s="36"/>
      <c r="W54" s="36"/>
      <c r="X54" s="36"/>
      <c r="Y54" s="36"/>
    </row>
    <row r="55" spans="2:25">
      <c r="B55" s="36"/>
      <c r="C55" s="36"/>
      <c r="D55" s="302"/>
      <c r="E55" s="302"/>
      <c r="F55" s="302"/>
      <c r="G55" s="302"/>
      <c r="H55" s="36"/>
      <c r="I55" s="36"/>
      <c r="J55" s="36"/>
      <c r="K55" s="36"/>
      <c r="L55" s="36"/>
      <c r="M55" s="36"/>
      <c r="N55" s="36"/>
      <c r="O55" s="36"/>
      <c r="P55" s="36"/>
      <c r="Q55" s="36"/>
      <c r="R55" s="36"/>
      <c r="S55" s="36"/>
      <c r="T55" s="36"/>
      <c r="U55" s="36"/>
      <c r="V55" s="36"/>
      <c r="W55" s="36"/>
      <c r="X55" s="36"/>
      <c r="Y55" s="36"/>
    </row>
  </sheetData>
  <mergeCells count="18">
    <mergeCell ref="O6:AC6"/>
    <mergeCell ref="Y7:AB7"/>
    <mergeCell ref="B1:AC1"/>
    <mergeCell ref="B2:AC4"/>
    <mergeCell ref="N14:S14"/>
    <mergeCell ref="B6:C8"/>
    <mergeCell ref="I7:L7"/>
    <mergeCell ref="Q7:T7"/>
    <mergeCell ref="U7:X7"/>
    <mergeCell ref="E7:H7"/>
    <mergeCell ref="D6:N6"/>
    <mergeCell ref="M7:N7"/>
    <mergeCell ref="O7:P7"/>
    <mergeCell ref="B15:B16"/>
    <mergeCell ref="K15:L15"/>
    <mergeCell ref="M15:P15"/>
    <mergeCell ref="C15:F15"/>
    <mergeCell ref="A13:K13"/>
  </mergeCells>
  <hyperlinks>
    <hyperlink ref="B18" r:id="rId1" xr:uid="{AB55EA7F-CA6C-40DD-BB1F-AFF1906C9468}"/>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86B1E-488C-411B-ABA3-732F0BB9A840}">
  <dimension ref="A1:AC111"/>
  <sheetViews>
    <sheetView zoomScale="67" zoomScaleNormal="90" workbookViewId="0">
      <selection activeCell="A15" sqref="A15"/>
    </sheetView>
  </sheetViews>
  <sheetFormatPr baseColWidth="10" defaultColWidth="8.6640625" defaultRowHeight="14"/>
  <cols>
    <col min="1" max="1" width="14.1640625" style="302" customWidth="1"/>
    <col min="2" max="2" width="49.33203125" style="302" customWidth="1"/>
    <col min="3" max="3" width="8.5" style="302" customWidth="1"/>
    <col min="4" max="4" width="9.33203125" style="302" customWidth="1"/>
    <col min="5" max="6" width="9.83203125" style="302" customWidth="1"/>
    <col min="7" max="7" width="9.6640625" style="302" customWidth="1"/>
    <col min="8" max="12" width="11.6640625" style="302" bestFit="1" customWidth="1"/>
    <col min="13" max="13" width="12.6640625" style="302" bestFit="1" customWidth="1"/>
    <col min="14" max="14" width="18.33203125" style="302" bestFit="1" customWidth="1"/>
    <col min="15" max="25" width="13.33203125" style="302" bestFit="1" customWidth="1"/>
    <col min="26" max="26" width="12.6640625" style="302" customWidth="1"/>
    <col min="27" max="16384" width="8.6640625" style="302"/>
  </cols>
  <sheetData>
    <row r="1" spans="2:29" ht="18" customHeight="1">
      <c r="B1" s="1471" t="s">
        <v>423</v>
      </c>
      <c r="C1" s="1471"/>
      <c r="D1" s="1471"/>
      <c r="E1" s="1471"/>
      <c r="F1" s="1471"/>
      <c r="G1" s="1471"/>
      <c r="H1" s="1471"/>
      <c r="I1" s="1471"/>
      <c r="J1" s="1471"/>
      <c r="K1" s="1471"/>
      <c r="L1" s="1471"/>
      <c r="M1" s="1471"/>
      <c r="N1" s="1471"/>
      <c r="O1" s="1471"/>
      <c r="P1" s="1471"/>
      <c r="Q1" s="1471"/>
      <c r="R1" s="1471"/>
      <c r="S1" s="1471"/>
      <c r="T1" s="1471"/>
      <c r="U1" s="1471"/>
      <c r="V1" s="1471"/>
      <c r="W1" s="1471"/>
      <c r="X1" s="1471"/>
      <c r="Y1" s="1471"/>
      <c r="Z1" s="1471"/>
      <c r="AA1" s="1471"/>
      <c r="AB1" s="1471"/>
      <c r="AC1" s="1471"/>
    </row>
    <row r="2" spans="2:29" ht="82" customHeight="1">
      <c r="B2" s="1370" t="s">
        <v>1162</v>
      </c>
      <c r="C2" s="1370"/>
      <c r="D2" s="1370"/>
      <c r="E2" s="1370"/>
      <c r="F2" s="1370"/>
      <c r="G2" s="1370"/>
      <c r="H2" s="1370"/>
      <c r="I2" s="1370"/>
      <c r="J2" s="1370"/>
      <c r="K2" s="1370"/>
      <c r="L2" s="1370"/>
      <c r="M2" s="1370"/>
      <c r="N2" s="1370"/>
      <c r="O2" s="1370"/>
      <c r="P2" s="1370"/>
      <c r="Q2" s="1370"/>
      <c r="R2" s="1370"/>
      <c r="S2" s="1370"/>
      <c r="T2" s="1370"/>
      <c r="U2" s="1370"/>
      <c r="V2" s="1370"/>
      <c r="W2" s="1370"/>
      <c r="X2" s="1370"/>
      <c r="Y2" s="1370"/>
      <c r="Z2" s="1370"/>
      <c r="AA2" s="1370"/>
      <c r="AB2" s="1370"/>
      <c r="AC2" s="1370"/>
    </row>
    <row r="3" spans="2:29" ht="3" customHeight="1">
      <c r="B3" s="1370"/>
      <c r="C3" s="1370"/>
      <c r="D3" s="1370"/>
      <c r="E3" s="1370"/>
      <c r="F3" s="1370"/>
      <c r="G3" s="1370"/>
      <c r="H3" s="1370"/>
      <c r="I3" s="1370"/>
      <c r="J3" s="1370"/>
      <c r="K3" s="1370"/>
      <c r="L3" s="1370"/>
      <c r="M3" s="1370"/>
      <c r="N3" s="1370"/>
      <c r="O3" s="1370"/>
      <c r="P3" s="1370"/>
      <c r="Q3" s="1370"/>
      <c r="R3" s="1370"/>
      <c r="S3" s="1370"/>
      <c r="T3" s="1370"/>
      <c r="U3" s="1370"/>
      <c r="V3" s="1370"/>
      <c r="W3" s="1370"/>
      <c r="X3" s="1370"/>
      <c r="Y3" s="1370"/>
      <c r="Z3" s="1370"/>
      <c r="AA3" s="1370"/>
      <c r="AB3" s="1370"/>
      <c r="AC3" s="1370"/>
    </row>
    <row r="4" spans="2:29" ht="10" hidden="1" customHeight="1">
      <c r="B4" s="1370"/>
      <c r="C4" s="1370"/>
      <c r="D4" s="1370"/>
      <c r="E4" s="1370"/>
      <c r="F4" s="1370"/>
      <c r="G4" s="1370"/>
      <c r="H4" s="1370"/>
      <c r="I4" s="1370"/>
      <c r="J4" s="1370"/>
      <c r="K4" s="1370"/>
      <c r="L4" s="1370"/>
      <c r="M4" s="1370"/>
      <c r="N4" s="1370"/>
      <c r="O4" s="1370"/>
      <c r="P4" s="1370"/>
      <c r="Q4" s="1370"/>
      <c r="R4" s="1370"/>
      <c r="S4" s="1370"/>
      <c r="T4" s="1370"/>
      <c r="U4" s="1370"/>
      <c r="V4" s="1370"/>
      <c r="W4" s="1370"/>
      <c r="X4" s="1370"/>
      <c r="Y4" s="1370"/>
      <c r="Z4" s="1370"/>
      <c r="AA4" s="1370"/>
      <c r="AB4" s="1370"/>
      <c r="AC4" s="1370"/>
    </row>
    <row r="5" spans="2:29" ht="14" hidden="1" customHeight="1">
      <c r="B5" s="1370"/>
      <c r="C5" s="1370"/>
      <c r="D5" s="1370"/>
      <c r="E5" s="1370"/>
      <c r="F5" s="1370"/>
      <c r="G5" s="1370"/>
      <c r="H5" s="1370"/>
      <c r="I5" s="1370"/>
      <c r="J5" s="1370"/>
      <c r="K5" s="1370"/>
      <c r="L5" s="1370"/>
      <c r="M5" s="1370"/>
      <c r="N5" s="1370"/>
      <c r="O5" s="1370"/>
      <c r="P5" s="1370"/>
      <c r="Q5" s="1370"/>
      <c r="R5" s="1370"/>
      <c r="S5" s="1370"/>
      <c r="T5" s="1370"/>
      <c r="U5" s="1370"/>
      <c r="V5" s="1370"/>
      <c r="W5" s="1370"/>
      <c r="X5" s="1370"/>
      <c r="Y5" s="1370"/>
      <c r="Z5" s="1370"/>
      <c r="AA5" s="1370"/>
      <c r="AB5" s="1370"/>
      <c r="AC5" s="1370"/>
    </row>
    <row r="6" spans="2:29" ht="14" hidden="1" customHeight="1">
      <c r="B6" s="1370"/>
      <c r="C6" s="1370"/>
      <c r="D6" s="1370"/>
      <c r="E6" s="1370"/>
      <c r="F6" s="1370"/>
      <c r="G6" s="1370"/>
      <c r="H6" s="1370"/>
      <c r="I6" s="1370"/>
      <c r="J6" s="1370"/>
      <c r="K6" s="1370"/>
      <c r="L6" s="1370"/>
      <c r="M6" s="1370"/>
      <c r="N6" s="1370"/>
      <c r="O6" s="1370"/>
      <c r="P6" s="1370"/>
      <c r="Q6" s="1370"/>
      <c r="R6" s="1370"/>
      <c r="S6" s="1370"/>
      <c r="T6" s="1370"/>
      <c r="U6" s="1370"/>
      <c r="V6" s="1370"/>
      <c r="W6" s="1370"/>
      <c r="X6" s="1370"/>
      <c r="Y6" s="1370"/>
      <c r="Z6" s="1370"/>
      <c r="AA6" s="1370"/>
      <c r="AB6" s="1370"/>
      <c r="AC6" s="1370"/>
    </row>
    <row r="7" spans="2:29">
      <c r="B7" s="516" t="s">
        <v>399</v>
      </c>
      <c r="C7" s="263"/>
      <c r="D7" s="263"/>
      <c r="E7" s="263"/>
      <c r="F7" s="263"/>
      <c r="G7" s="263"/>
      <c r="H7" s="262"/>
      <c r="I7" s="262"/>
      <c r="J7" s="262"/>
      <c r="K7" s="262"/>
      <c r="L7" s="262"/>
      <c r="M7" s="262"/>
      <c r="N7" s="262"/>
      <c r="O7" s="262"/>
      <c r="P7" s="262"/>
      <c r="Q7" s="262"/>
      <c r="R7" s="262"/>
      <c r="S7" s="262"/>
      <c r="T7" s="262"/>
      <c r="U7" s="262"/>
    </row>
    <row r="8" spans="2:29" ht="14.5" customHeight="1">
      <c r="B8" s="1390" t="s">
        <v>426</v>
      </c>
      <c r="C8" s="1391"/>
      <c r="D8" s="1402" t="s">
        <v>261</v>
      </c>
      <c r="E8" s="1403"/>
      <c r="F8" s="1403"/>
      <c r="G8" s="1403"/>
      <c r="H8" s="1403"/>
      <c r="I8" s="1403"/>
      <c r="J8" s="1403"/>
      <c r="K8" s="1403"/>
      <c r="L8" s="1403"/>
      <c r="M8" s="1403"/>
      <c r="N8" s="1404"/>
      <c r="O8" s="1388" t="s">
        <v>143</v>
      </c>
      <c r="P8" s="1437"/>
      <c r="Q8" s="1437"/>
      <c r="R8" s="1437"/>
      <c r="S8" s="1437"/>
      <c r="T8" s="1437"/>
      <c r="U8" s="1437"/>
      <c r="V8" s="1437"/>
      <c r="W8" s="1437"/>
      <c r="X8" s="1437"/>
      <c r="Y8" s="1399"/>
      <c r="Z8" s="1399"/>
      <c r="AA8" s="1399"/>
      <c r="AB8" s="1399"/>
      <c r="AC8" s="1400"/>
    </row>
    <row r="9" spans="2:29" ht="14.5" customHeight="1">
      <c r="B9" s="1392"/>
      <c r="C9" s="1431"/>
      <c r="D9" s="229">
        <v>2018</v>
      </c>
      <c r="E9" s="1474">
        <v>2019</v>
      </c>
      <c r="F9" s="1475"/>
      <c r="G9" s="1475"/>
      <c r="H9" s="1476"/>
      <c r="I9" s="1373">
        <v>2020</v>
      </c>
      <c r="J9" s="1426"/>
      <c r="K9" s="1426"/>
      <c r="L9" s="1477"/>
      <c r="M9" s="1373">
        <v>2021</v>
      </c>
      <c r="N9" s="1383"/>
      <c r="O9" s="1438">
        <v>2021</v>
      </c>
      <c r="P9" s="1439"/>
      <c r="Q9" s="1438">
        <v>2022</v>
      </c>
      <c r="R9" s="1442"/>
      <c r="S9" s="1442"/>
      <c r="T9" s="1442"/>
      <c r="U9" s="1438">
        <v>2023</v>
      </c>
      <c r="V9" s="1442"/>
      <c r="W9" s="1442"/>
      <c r="X9" s="1442"/>
      <c r="Y9" s="1396">
        <v>2024</v>
      </c>
      <c r="Z9" s="1401"/>
      <c r="AA9" s="1401"/>
      <c r="AB9" s="1401"/>
      <c r="AC9" s="475">
        <v>2025</v>
      </c>
    </row>
    <row r="10" spans="2:29">
      <c r="B10" s="1392"/>
      <c r="C10" s="1431"/>
      <c r="D10" s="232" t="s">
        <v>138</v>
      </c>
      <c r="E10" s="216" t="s">
        <v>135</v>
      </c>
      <c r="F10" s="201" t="s">
        <v>136</v>
      </c>
      <c r="G10" s="201" t="s">
        <v>137</v>
      </c>
      <c r="H10" s="208" t="s">
        <v>138</v>
      </c>
      <c r="I10" s="216" t="s">
        <v>135</v>
      </c>
      <c r="J10" s="201" t="s">
        <v>136</v>
      </c>
      <c r="K10" s="201" t="s">
        <v>137</v>
      </c>
      <c r="L10" s="208" t="s">
        <v>138</v>
      </c>
      <c r="M10" s="216" t="s">
        <v>135</v>
      </c>
      <c r="N10" s="208" t="s">
        <v>136</v>
      </c>
      <c r="O10" s="891" t="s">
        <v>137</v>
      </c>
      <c r="P10" s="893" t="s">
        <v>138</v>
      </c>
      <c r="Q10" s="891" t="s">
        <v>135</v>
      </c>
      <c r="R10" s="892" t="s">
        <v>136</v>
      </c>
      <c r="S10" s="892" t="s">
        <v>137</v>
      </c>
      <c r="T10" s="892" t="s">
        <v>138</v>
      </c>
      <c r="U10" s="891" t="s">
        <v>135</v>
      </c>
      <c r="V10" s="892" t="s">
        <v>136</v>
      </c>
      <c r="W10" s="892" t="s">
        <v>137</v>
      </c>
      <c r="X10" s="892" t="s">
        <v>138</v>
      </c>
      <c r="Y10" s="64" t="s">
        <v>135</v>
      </c>
      <c r="Z10" s="698" t="s">
        <v>136</v>
      </c>
      <c r="AA10" s="65" t="s">
        <v>137</v>
      </c>
      <c r="AB10" s="65" t="s">
        <v>138</v>
      </c>
      <c r="AC10" s="67" t="s">
        <v>135</v>
      </c>
    </row>
    <row r="11" spans="2:29">
      <c r="B11" s="1479" t="s">
        <v>145</v>
      </c>
      <c r="C11" s="1480"/>
      <c r="D11" s="860"/>
      <c r="E11" s="248"/>
      <c r="F11" s="248"/>
      <c r="G11" s="248"/>
      <c r="H11" s="170"/>
      <c r="I11" s="170"/>
      <c r="J11" s="170"/>
      <c r="K11" s="170"/>
      <c r="L11" s="170"/>
      <c r="M11" s="170"/>
      <c r="N11" s="170"/>
      <c r="O11" s="845"/>
      <c r="P11" s="846"/>
      <c r="Q11" s="846"/>
      <c r="R11" s="846"/>
      <c r="S11" s="846"/>
      <c r="T11" s="846"/>
      <c r="U11" s="846"/>
      <c r="V11" s="846"/>
      <c r="W11" s="846"/>
      <c r="X11" s="846"/>
      <c r="Y11" s="846"/>
      <c r="Z11" s="894"/>
      <c r="AA11" s="894"/>
      <c r="AB11" s="894"/>
      <c r="AC11" s="895"/>
    </row>
    <row r="12" spans="2:29">
      <c r="B12" s="212" t="s">
        <v>548</v>
      </c>
      <c r="C12" s="562" t="s">
        <v>227</v>
      </c>
      <c r="D12" s="976">
        <f>'Haver Pivoted'!GO31</f>
        <v>2222.3000000000002</v>
      </c>
      <c r="E12" s="977">
        <f>'Haver Pivoted'!GP31</f>
        <v>2298.1</v>
      </c>
      <c r="F12" s="977">
        <f>'Haver Pivoted'!GQ31</f>
        <v>2315.5</v>
      </c>
      <c r="G12" s="977">
        <f>'Haver Pivoted'!GR31</f>
        <v>2333.1999999999998</v>
      </c>
      <c r="H12" s="977">
        <f>'Haver Pivoted'!GS31</f>
        <v>2350.8000000000002</v>
      </c>
      <c r="I12" s="977">
        <f>'Haver Pivoted'!GT31</f>
        <v>2417.9</v>
      </c>
      <c r="J12" s="977">
        <f>'Haver Pivoted'!GU31</f>
        <v>4766.7</v>
      </c>
      <c r="K12" s="977">
        <f>'Haver Pivoted'!GV31</f>
        <v>3468.3</v>
      </c>
      <c r="L12" s="977">
        <f>'Haver Pivoted'!GW31</f>
        <v>2839.1</v>
      </c>
      <c r="M12" s="977">
        <f>'Haver Pivoted'!GX31</f>
        <v>5070.6000000000004</v>
      </c>
      <c r="N12" s="977">
        <f>'Haver Pivoted'!GY31</f>
        <v>3367.3</v>
      </c>
      <c r="O12" s="222">
        <f t="shared" ref="O12:Y12" si="0">SUM(O13:O21)</f>
        <v>3240.6746474159663</v>
      </c>
      <c r="P12" s="213">
        <f t="shared" si="0"/>
        <v>2716.7896741083205</v>
      </c>
      <c r="Q12" s="213">
        <f t="shared" si="0"/>
        <v>2784.0129505188997</v>
      </c>
      <c r="R12" s="213">
        <f t="shared" si="0"/>
        <v>2790.6906854560284</v>
      </c>
      <c r="S12" s="213">
        <f t="shared" si="0"/>
        <v>2746.3414505762457</v>
      </c>
      <c r="T12" s="213">
        <f t="shared" si="0"/>
        <v>2626.8728067143161</v>
      </c>
      <c r="U12" s="213">
        <f t="shared" si="0"/>
        <v>2721.105330393164</v>
      </c>
      <c r="V12" s="213">
        <f t="shared" si="0"/>
        <v>2745.6394544176919</v>
      </c>
      <c r="W12" s="213">
        <f t="shared" si="0"/>
        <v>2770.498708808097</v>
      </c>
      <c r="X12" s="213">
        <f t="shared" si="0"/>
        <v>2787.9896591893817</v>
      </c>
      <c r="Y12" s="213">
        <f t="shared" si="0"/>
        <v>2879.7079500080322</v>
      </c>
      <c r="Z12" s="213">
        <f t="shared" ref="Z12:AC12" si="1">SUM(Z13:Z21)</f>
        <v>2905.3276885854589</v>
      </c>
      <c r="AA12" s="213">
        <f t="shared" si="1"/>
        <v>2931.1776413771349</v>
      </c>
      <c r="AB12" s="213">
        <f t="shared" si="1"/>
        <v>2955.7604360943319</v>
      </c>
      <c r="AC12" s="1067">
        <f t="shared" si="1"/>
        <v>2982.3708012800016</v>
      </c>
    </row>
    <row r="13" spans="2:29" ht="30">
      <c r="B13" s="250" t="s">
        <v>429</v>
      </c>
      <c r="C13" s="562"/>
      <c r="D13" s="976">
        <f>'Unemployment Insurance'!D20+'Unemployment Insurance'!D19</f>
        <v>27.1</v>
      </c>
      <c r="E13" s="977">
        <f>'Unemployment Insurance'!E20+'Unemployment Insurance'!E19</f>
        <v>28.4</v>
      </c>
      <c r="F13" s="977">
        <f>'Unemployment Insurance'!F20+'Unemployment Insurance'!F19</f>
        <v>27.8</v>
      </c>
      <c r="G13" s="977">
        <f>'Unemployment Insurance'!G20+'Unemployment Insurance'!G19</f>
        <v>27.4</v>
      </c>
      <c r="H13" s="977">
        <f>'Unemployment Insurance'!H20+'Unemployment Insurance'!H19</f>
        <v>26.8</v>
      </c>
      <c r="I13" s="977">
        <f>'Unemployment Insurance'!I20+'Unemployment Insurance'!I19</f>
        <v>39.5</v>
      </c>
      <c r="J13" s="977">
        <f>'Unemployment Insurance'!J20+'Unemployment Insurance'!J19</f>
        <v>1039.4000000000001</v>
      </c>
      <c r="K13" s="977">
        <f>'Unemployment Insurance'!K20+'Unemployment Insurance'!K19</f>
        <v>767.8</v>
      </c>
      <c r="L13" s="977">
        <f>'Unemployment Insurance'!L20+'Unemployment Insurance'!L19</f>
        <v>299.89999999999998</v>
      </c>
      <c r="M13" s="977">
        <f>'Unemployment Insurance'!M20+'Unemployment Insurance'!M19</f>
        <v>565.79999999999995</v>
      </c>
      <c r="N13" s="977">
        <f>'Unemployment Insurance'!N20+'Unemployment Insurance'!N19</f>
        <v>480.5</v>
      </c>
      <c r="O13" s="222">
        <f>'Unemployment Insurance'!O20+'Unemployment Insurance'!O19</f>
        <v>435.30058054787651</v>
      </c>
      <c r="P13" s="213">
        <f>'Unemployment Insurance'!P20+'Unemployment Insurance'!P19</f>
        <v>36.046109826589621</v>
      </c>
      <c r="Q13" s="213">
        <f>'Unemployment Insurance'!Q20+'Unemployment Insurance'!Q19</f>
        <v>32.09660115606939</v>
      </c>
      <c r="R13" s="213">
        <f>'Unemployment Insurance'!R20+'Unemployment Insurance'!R19</f>
        <v>29.867670520231236</v>
      </c>
      <c r="S13" s="213">
        <f>'Unemployment Insurance'!S20+'Unemployment Insurance'!S19</f>
        <v>28.796219653179211</v>
      </c>
      <c r="T13" s="213">
        <f>'Unemployment Insurance'!T20+'Unemployment Insurance'!T19</f>
        <v>28.444283236994242</v>
      </c>
      <c r="U13" s="213">
        <f>'Unemployment Insurance'!U20+'Unemployment Insurance'!U19</f>
        <v>28.639803468208115</v>
      </c>
      <c r="V13" s="213">
        <f>'Unemployment Insurance'!V20+'Unemployment Insurance'!V19</f>
        <v>29.077768786127191</v>
      </c>
      <c r="W13" s="213">
        <f>'Unemployment Insurance'!W20+'Unemployment Insurance'!W19</f>
        <v>29.52355491329482</v>
      </c>
      <c r="X13" s="213">
        <f>'Unemployment Insurance'!X20+'Unemployment Insurance'!X19</f>
        <v>29.992803468208116</v>
      </c>
      <c r="Y13" s="213">
        <f>'Unemployment Insurance'!Y20+'Unemployment Insurance'!Y19</f>
        <v>30.579364161849735</v>
      </c>
      <c r="Z13" s="213">
        <f>'Unemployment Insurance'!Z20+'Unemployment Insurance'!Z19</f>
        <v>31.064254335260141</v>
      </c>
      <c r="AA13" s="213">
        <f>'Unemployment Insurance'!AA20+'Unemployment Insurance'!AA19</f>
        <v>31.447473988439334</v>
      </c>
      <c r="AB13" s="213">
        <f>'Unemployment Insurance'!AB20+'Unemployment Insurance'!AB19</f>
        <v>31.924543352601184</v>
      </c>
      <c r="AC13" s="1067">
        <f>'Unemployment Insurance'!AC20+'Unemployment Insurance'!AC19</f>
        <v>32.385971098265927</v>
      </c>
    </row>
    <row r="14" spans="2:29" ht="15">
      <c r="B14" s="250" t="s">
        <v>385</v>
      </c>
      <c r="C14" s="562"/>
      <c r="D14" s="976">
        <f>Medicare!D10</f>
        <v>754.2</v>
      </c>
      <c r="E14" s="977">
        <f>Medicare!E10</f>
        <v>768.3</v>
      </c>
      <c r="F14" s="977">
        <f>Medicare!F10</f>
        <v>781.1</v>
      </c>
      <c r="G14" s="977">
        <f>Medicare!G10</f>
        <v>792.1</v>
      </c>
      <c r="H14" s="977">
        <f>Medicare!H10</f>
        <v>801.3</v>
      </c>
      <c r="I14" s="977">
        <f>Medicare!I10</f>
        <v>808.5</v>
      </c>
      <c r="J14" s="977">
        <f>Medicare!J10</f>
        <v>821.6</v>
      </c>
      <c r="K14" s="977">
        <f>Medicare!K10</f>
        <v>825.8</v>
      </c>
      <c r="L14" s="977">
        <f>Medicare!L10</f>
        <v>821</v>
      </c>
      <c r="M14" s="977">
        <f>Medicare!M10</f>
        <v>814.1</v>
      </c>
      <c r="N14" s="977">
        <f>Medicare!N10</f>
        <v>815.3</v>
      </c>
      <c r="O14" s="222">
        <f>Medicare!O10</f>
        <v>829.40291089552829</v>
      </c>
      <c r="P14" s="213">
        <f>Medicare!P10</f>
        <v>843.85759747491386</v>
      </c>
      <c r="Q14" s="213">
        <f>Medicare!Q10</f>
        <v>843.37413735570783</v>
      </c>
      <c r="R14" s="213">
        <f>Medicare!R10</f>
        <v>859.18080292867467</v>
      </c>
      <c r="S14" s="213">
        <f>Medicare!S10</f>
        <v>861.28301891594344</v>
      </c>
      <c r="T14" s="213">
        <f>Medicare!T10</f>
        <v>877.68631147019892</v>
      </c>
      <c r="U14" s="213">
        <f>Medicare!U10</f>
        <v>894.37097605549116</v>
      </c>
      <c r="V14" s="213">
        <f>Medicare!V10</f>
        <v>911.36713476209957</v>
      </c>
      <c r="W14" s="213">
        <f>Medicare!W10</f>
        <v>928.68060302533706</v>
      </c>
      <c r="X14" s="213">
        <f>Medicare!X10</f>
        <v>946.31730485170817</v>
      </c>
      <c r="Y14" s="213">
        <f>Medicare!Y10</f>
        <v>964.02626563984654</v>
      </c>
      <c r="Z14" s="213">
        <f>Medicare!Z10</f>
        <v>982.06111404386252</v>
      </c>
      <c r="AA14" s="213">
        <f>Medicare!AA10</f>
        <v>1000.427847182359</v>
      </c>
      <c r="AB14" s="213">
        <f>Medicare!AB10</f>
        <v>1019.1325725353943</v>
      </c>
      <c r="AC14" s="1067">
        <f>Medicare!AC10</f>
        <v>1038.181509975399</v>
      </c>
    </row>
    <row r="15" spans="2:29" ht="30">
      <c r="B15" s="245" t="s">
        <v>428</v>
      </c>
      <c r="C15" s="562"/>
      <c r="D15" s="1000"/>
      <c r="E15" s="37"/>
      <c r="F15" s="37"/>
      <c r="G15" s="37"/>
      <c r="H15" s="977">
        <f>'Rebate Checks'!H10 +'Rebate Checks'!H11</f>
        <v>0</v>
      </c>
      <c r="I15" s="977">
        <f>'Rebate Checks'!I10 +'Rebate Checks'!I11</f>
        <v>0</v>
      </c>
      <c r="J15" s="977">
        <f>'Rebate Checks'!J10 +'Rebate Checks'!J11</f>
        <v>1078.0999999999999</v>
      </c>
      <c r="K15" s="977">
        <f>'Rebate Checks'!K10 +'Rebate Checks'!K11</f>
        <v>15.6</v>
      </c>
      <c r="L15" s="977">
        <f>'Rebate Checks'!L10 +'Rebate Checks'!L11</f>
        <v>5</v>
      </c>
      <c r="M15" s="977">
        <f>'Rebate Checks'!M10 +'Rebate Checks'!M11</f>
        <v>1933.6999999999998</v>
      </c>
      <c r="N15" s="977">
        <f>'Rebate Checks'!N10 +'Rebate Checks'!N11</f>
        <v>290.10000000000002</v>
      </c>
      <c r="O15" s="222">
        <f>'Rebate Checks'!O10 +'Rebate Checks'!O11</f>
        <v>0</v>
      </c>
      <c r="P15" s="213">
        <f>'Rebate Checks'!P10 +'Rebate Checks'!P11</f>
        <v>0</v>
      </c>
      <c r="Q15" s="213">
        <f>'Rebate Checks'!Q10 +'Rebate Checks'!Q11</f>
        <v>34.93</v>
      </c>
      <c r="R15" s="213">
        <f>'Rebate Checks'!R10 +'Rebate Checks'!R11</f>
        <v>34.93</v>
      </c>
      <c r="S15" s="213">
        <f>'Rebate Checks'!S10 +'Rebate Checks'!S11</f>
        <v>0</v>
      </c>
      <c r="T15" s="213">
        <f>'Rebate Checks'!T10 +'Rebate Checks'!T11</f>
        <v>0</v>
      </c>
      <c r="U15" s="213">
        <f>'Rebate Checks'!U10 +'Rebate Checks'!U11</f>
        <v>0</v>
      </c>
      <c r="V15" s="213">
        <f>'Rebate Checks'!V10 +'Rebate Checks'!V11</f>
        <v>0</v>
      </c>
      <c r="W15" s="213">
        <f>'Rebate Checks'!W10 +'Rebate Checks'!W11</f>
        <v>0</v>
      </c>
      <c r="X15" s="213">
        <f>'Rebate Checks'!X10 +'Rebate Checks'!X11</f>
        <v>0</v>
      </c>
      <c r="Y15" s="213">
        <f>'Rebate Checks'!Y10 +'Rebate Checks'!Y11</f>
        <v>0</v>
      </c>
      <c r="Z15" s="213">
        <f>'Rebate Checks'!Z10 +'Rebate Checks'!Z11</f>
        <v>0</v>
      </c>
      <c r="AA15" s="213">
        <f>'Rebate Checks'!AA10 +'Rebate Checks'!AA11</f>
        <v>0</v>
      </c>
      <c r="AB15" s="213">
        <f>'Rebate Checks'!AB10 +'Rebate Checks'!AB11</f>
        <v>0</v>
      </c>
      <c r="AC15" s="1067">
        <f>'Rebate Checks'!AC10 +'Rebate Checks'!AC11</f>
        <v>0</v>
      </c>
    </row>
    <row r="16" spans="2:29" ht="30">
      <c r="B16" s="245" t="s">
        <v>686</v>
      </c>
      <c r="C16" s="562"/>
      <c r="D16" s="1000"/>
      <c r="E16" s="37"/>
      <c r="F16" s="37"/>
      <c r="G16" s="37"/>
      <c r="H16" s="977"/>
      <c r="I16" s="977">
        <f>I62</f>
        <v>2.5817499999999995</v>
      </c>
      <c r="J16" s="977">
        <f t="shared" ref="J16:Y16" si="2">J62</f>
        <v>37.358750000000001</v>
      </c>
      <c r="K16" s="977">
        <f t="shared" si="2"/>
        <v>38.026749999999993</v>
      </c>
      <c r="L16" s="977">
        <f t="shared" si="2"/>
        <v>38.350750000000005</v>
      </c>
      <c r="M16" s="977">
        <f t="shared" si="2"/>
        <v>54.966750000000005</v>
      </c>
      <c r="N16" s="977">
        <f t="shared" si="2"/>
        <v>69.648749999999993</v>
      </c>
      <c r="O16" s="222">
        <f t="shared" si="2"/>
        <v>80</v>
      </c>
      <c r="P16" s="213">
        <f t="shared" si="2"/>
        <v>50</v>
      </c>
      <c r="Q16" s="213">
        <f t="shared" si="2"/>
        <v>25</v>
      </c>
      <c r="R16" s="213">
        <f t="shared" si="2"/>
        <v>20</v>
      </c>
      <c r="S16" s="213">
        <f t="shared" si="2"/>
        <v>5</v>
      </c>
      <c r="T16" s="213">
        <f t="shared" si="2"/>
        <v>0</v>
      </c>
      <c r="U16" s="213">
        <f t="shared" si="2"/>
        <v>0</v>
      </c>
      <c r="V16" s="213">
        <f t="shared" si="2"/>
        <v>0</v>
      </c>
      <c r="W16" s="213">
        <f t="shared" si="2"/>
        <v>0</v>
      </c>
      <c r="X16" s="213">
        <f t="shared" si="2"/>
        <v>0</v>
      </c>
      <c r="Y16" s="213">
        <f t="shared" si="2"/>
        <v>0</v>
      </c>
      <c r="Z16" s="213">
        <f t="shared" ref="Z16:AC16" si="3">Z62</f>
        <v>0</v>
      </c>
      <c r="AA16" s="213">
        <f t="shared" si="3"/>
        <v>0</v>
      </c>
      <c r="AB16" s="213">
        <f t="shared" si="3"/>
        <v>0</v>
      </c>
      <c r="AC16" s="1067">
        <f t="shared" si="3"/>
        <v>0</v>
      </c>
    </row>
    <row r="17" spans="1:29" ht="15">
      <c r="B17" s="245" t="s">
        <v>486</v>
      </c>
      <c r="C17" s="562"/>
      <c r="D17" s="1000"/>
      <c r="E17" s="37"/>
      <c r="F17" s="37"/>
      <c r="G17" s="37"/>
      <c r="H17" s="977"/>
      <c r="I17" s="977"/>
      <c r="J17" s="73">
        <v>19.100000000000001</v>
      </c>
      <c r="K17" s="73">
        <v>27</v>
      </c>
      <c r="L17" s="73">
        <v>10.8</v>
      </c>
      <c r="M17" s="73">
        <v>10.8</v>
      </c>
      <c r="N17" s="977">
        <f>PPP!N53</f>
        <v>24.7</v>
      </c>
      <c r="O17" s="222">
        <f>PPP!O53</f>
        <v>22.137795972560305</v>
      </c>
      <c r="P17" s="213">
        <f>PPP!P53</f>
        <v>1.8499668068156667</v>
      </c>
      <c r="Q17" s="213"/>
      <c r="R17" s="213"/>
      <c r="S17" s="213"/>
      <c r="T17" s="213"/>
      <c r="U17" s="213"/>
      <c r="V17" s="213"/>
      <c r="W17" s="213"/>
      <c r="X17" s="213"/>
      <c r="Y17" s="213"/>
      <c r="Z17" s="213"/>
      <c r="AA17" s="213"/>
      <c r="AB17" s="213"/>
      <c r="AC17" s="1067"/>
    </row>
    <row r="18" spans="1:29" ht="15">
      <c r="B18" s="245" t="s">
        <v>487</v>
      </c>
      <c r="C18" s="562"/>
      <c r="D18" s="1000"/>
      <c r="E18" s="37"/>
      <c r="F18" s="37"/>
      <c r="G18" s="37"/>
      <c r="H18" s="977"/>
      <c r="I18" s="977"/>
      <c r="J18" s="73">
        <v>160.9</v>
      </c>
      <c r="K18" s="73">
        <v>58.4</v>
      </c>
      <c r="L18" s="73">
        <v>34.5</v>
      </c>
      <c r="M18" s="73">
        <v>43</v>
      </c>
      <c r="N18" s="977">
        <f>'Provider Relief'!N11</f>
        <v>26.6</v>
      </c>
      <c r="O18" s="222">
        <f>'Provider Relief'!O11</f>
        <v>17.350000000000001</v>
      </c>
      <c r="P18" s="213">
        <f>'Provider Relief'!P11</f>
        <v>13.7</v>
      </c>
      <c r="Q18" s="213">
        <f>'Provider Relief'!Q11</f>
        <v>11.55</v>
      </c>
      <c r="R18" s="213">
        <f>'Provider Relief'!R11</f>
        <v>2.5499999999999998</v>
      </c>
      <c r="S18" s="213"/>
      <c r="T18" s="213"/>
      <c r="U18" s="213"/>
      <c r="V18" s="213"/>
      <c r="W18" s="213"/>
      <c r="X18" s="213"/>
      <c r="Y18" s="213"/>
      <c r="Z18" s="213"/>
      <c r="AA18" s="213"/>
      <c r="AB18" s="213"/>
      <c r="AC18" s="1067"/>
    </row>
    <row r="19" spans="1:29" ht="15">
      <c r="A19" s="120"/>
      <c r="B19" s="245" t="s">
        <v>495</v>
      </c>
      <c r="C19" s="562"/>
      <c r="D19" s="1000"/>
      <c r="E19" s="37"/>
      <c r="F19" s="37"/>
      <c r="G19" s="37"/>
      <c r="H19" s="977"/>
      <c r="I19" s="977"/>
      <c r="J19" s="73"/>
      <c r="K19" s="73"/>
      <c r="L19" s="73"/>
      <c r="M19" s="73"/>
      <c r="N19" s="977">
        <f t="shared" ref="N19:Y19" si="4">N23</f>
        <v>53.448640000000026</v>
      </c>
      <c r="O19" s="222">
        <f t="shared" si="4"/>
        <v>243.98336000000015</v>
      </c>
      <c r="P19" s="213">
        <f t="shared" si="4"/>
        <v>151.73599999999999</v>
      </c>
      <c r="Q19" s="213">
        <f t="shared" si="4"/>
        <v>151.73599999999999</v>
      </c>
      <c r="R19" s="213">
        <f t="shared" si="4"/>
        <v>151.73599999999999</v>
      </c>
      <c r="S19" s="213">
        <f t="shared" si="4"/>
        <v>151.73599999999999</v>
      </c>
      <c r="T19" s="213">
        <f t="shared" si="4"/>
        <v>14.116</v>
      </c>
      <c r="U19" s="213">
        <f t="shared" si="4"/>
        <v>14.116</v>
      </c>
      <c r="V19" s="213">
        <f t="shared" si="4"/>
        <v>14.116</v>
      </c>
      <c r="W19" s="213">
        <f t="shared" si="4"/>
        <v>14.116</v>
      </c>
      <c r="X19" s="213">
        <f t="shared" si="4"/>
        <v>6.4009999999999998</v>
      </c>
      <c r="Y19" s="213">
        <f t="shared" si="4"/>
        <v>6.4009999999999998</v>
      </c>
      <c r="Z19" s="213">
        <f t="shared" ref="Z19:AC19" si="5">Z23</f>
        <v>6.4009999999999998</v>
      </c>
      <c r="AA19" s="213">
        <f t="shared" si="5"/>
        <v>6.4009999999999998</v>
      </c>
      <c r="AB19" s="213">
        <f t="shared" si="5"/>
        <v>4.702</v>
      </c>
      <c r="AC19" s="1067">
        <f t="shared" si="5"/>
        <v>4.702</v>
      </c>
    </row>
    <row r="20" spans="1:29">
      <c r="B20" s="343" t="s">
        <v>687</v>
      </c>
      <c r="C20" s="562"/>
      <c r="D20" s="1001">
        <f>D54</f>
        <v>0</v>
      </c>
      <c r="E20" s="654">
        <f t="shared" ref="E20:N20" si="6">E54</f>
        <v>0</v>
      </c>
      <c r="F20" s="654">
        <f t="shared" si="6"/>
        <v>0</v>
      </c>
      <c r="G20" s="654">
        <f t="shared" si="6"/>
        <v>0</v>
      </c>
      <c r="H20" s="654">
        <f t="shared" si="6"/>
        <v>0</v>
      </c>
      <c r="I20" s="654">
        <f t="shared" si="6"/>
        <v>-2.5817500000000564</v>
      </c>
      <c r="J20" s="654">
        <f t="shared" si="6"/>
        <v>33.241249999999809</v>
      </c>
      <c r="K20" s="654">
        <f t="shared" si="6"/>
        <v>151.57324999999992</v>
      </c>
      <c r="L20" s="654">
        <f t="shared" si="6"/>
        <v>38.349249999999302</v>
      </c>
      <c r="M20" s="654">
        <f t="shared" si="6"/>
        <v>49.933249999999589</v>
      </c>
      <c r="N20" s="654">
        <f t="shared" si="6"/>
        <v>1.6026099999992311</v>
      </c>
      <c r="O20" s="504">
        <v>0</v>
      </c>
      <c r="P20" s="505">
        <v>0</v>
      </c>
      <c r="Q20" s="505">
        <v>0</v>
      </c>
      <c r="R20" s="505">
        <v>0</v>
      </c>
      <c r="S20" s="505">
        <v>0</v>
      </c>
      <c r="T20" s="505">
        <v>0</v>
      </c>
      <c r="U20" s="505">
        <v>0</v>
      </c>
      <c r="V20" s="505">
        <v>0</v>
      </c>
      <c r="W20" s="505">
        <v>0</v>
      </c>
      <c r="X20" s="505">
        <v>0</v>
      </c>
      <c r="Y20" s="505">
        <v>0</v>
      </c>
      <c r="Z20" s="505">
        <v>0</v>
      </c>
      <c r="AA20" s="505">
        <v>0</v>
      </c>
      <c r="AB20" s="505">
        <v>0</v>
      </c>
      <c r="AC20" s="1141">
        <v>0</v>
      </c>
    </row>
    <row r="21" spans="1:29" ht="30">
      <c r="B21" s="899" t="s">
        <v>489</v>
      </c>
      <c r="C21" s="562"/>
      <c r="D21" s="976">
        <f t="shared" ref="D21:N21" si="7">D12-SUM(D13:D20)</f>
        <v>1441</v>
      </c>
      <c r="E21" s="977">
        <f t="shared" si="7"/>
        <v>1501.4</v>
      </c>
      <c r="F21" s="977">
        <f t="shared" si="7"/>
        <v>1506.6</v>
      </c>
      <c r="G21" s="977">
        <f t="shared" si="7"/>
        <v>1513.6999999999998</v>
      </c>
      <c r="H21" s="977">
        <f t="shared" si="7"/>
        <v>1522.7000000000003</v>
      </c>
      <c r="I21" s="977">
        <f t="shared" si="7"/>
        <v>1569.9</v>
      </c>
      <c r="J21" s="977">
        <f t="shared" si="7"/>
        <v>1577</v>
      </c>
      <c r="K21" s="977">
        <f t="shared" si="7"/>
        <v>1584.1000000000004</v>
      </c>
      <c r="L21" s="977">
        <f t="shared" si="7"/>
        <v>1591.2000000000005</v>
      </c>
      <c r="M21" s="977">
        <f t="shared" si="7"/>
        <v>1598.3000000000006</v>
      </c>
      <c r="N21" s="977">
        <f t="shared" si="7"/>
        <v>1605.4000000000008</v>
      </c>
      <c r="O21" s="1077">
        <f>N21+($L21-$I21)/3</f>
        <v>1612.5000000000009</v>
      </c>
      <c r="P21" s="1078">
        <f>O21+($L21-$I21)/3</f>
        <v>1619.600000000001</v>
      </c>
      <c r="Q21" s="1078">
        <f>M21*E41</f>
        <v>1685.3262120071224</v>
      </c>
      <c r="R21" s="1078">
        <f>Q21+($L21-$I21)/3</f>
        <v>1692.4262120071226</v>
      </c>
      <c r="S21" s="1078">
        <f>R21+($L21-$I21)/3</f>
        <v>1699.5262120071227</v>
      </c>
      <c r="T21" s="1078">
        <f>S21+($L21-$I21)/3</f>
        <v>1706.6262120071228</v>
      </c>
      <c r="U21" s="1078">
        <f>Q21*F41</f>
        <v>1783.9785508694649</v>
      </c>
      <c r="V21" s="1078">
        <f>U21+($L21-$I21)/3</f>
        <v>1791.0785508694651</v>
      </c>
      <c r="W21" s="1078">
        <f>V21+($L21-$I21)/3</f>
        <v>1798.1785508694652</v>
      </c>
      <c r="X21" s="1078">
        <f>W21+($L21-$I21)/3</f>
        <v>1805.2785508694653</v>
      </c>
      <c r="Y21" s="1078">
        <f>U21*$G$41</f>
        <v>1878.701320206336</v>
      </c>
      <c r="Z21" s="1078">
        <f>Y21+($L21-$I21)/3</f>
        <v>1885.8013202063362</v>
      </c>
      <c r="AA21" s="1078">
        <f t="shared" ref="AA21:AC21" si="8">Z21+($L21-$I21)/3</f>
        <v>1892.9013202063363</v>
      </c>
      <c r="AB21" s="1078">
        <f t="shared" si="8"/>
        <v>1900.0013202063365</v>
      </c>
      <c r="AC21" s="1079">
        <f t="shared" si="8"/>
        <v>1907.1013202063366</v>
      </c>
    </row>
    <row r="22" spans="1:29" s="470" customFormat="1" ht="15">
      <c r="B22" s="631" t="s">
        <v>507</v>
      </c>
      <c r="C22" s="189"/>
      <c r="D22" s="1002">
        <f>D21 + D20</f>
        <v>1441</v>
      </c>
      <c r="E22" s="260">
        <f t="shared" ref="E22:Y22" si="9">E21 + E20</f>
        <v>1501.4</v>
      </c>
      <c r="F22" s="260">
        <f t="shared" si="9"/>
        <v>1506.6</v>
      </c>
      <c r="G22" s="260">
        <f t="shared" si="9"/>
        <v>1513.6999999999998</v>
      </c>
      <c r="H22" s="260">
        <f t="shared" si="9"/>
        <v>1522.7000000000003</v>
      </c>
      <c r="I22" s="260">
        <f t="shared" si="9"/>
        <v>1567.31825</v>
      </c>
      <c r="J22" s="260">
        <f t="shared" si="9"/>
        <v>1610.2412499999998</v>
      </c>
      <c r="K22" s="260">
        <f t="shared" si="9"/>
        <v>1735.6732500000003</v>
      </c>
      <c r="L22" s="260">
        <f t="shared" si="9"/>
        <v>1629.5492499999998</v>
      </c>
      <c r="M22" s="260">
        <f t="shared" si="9"/>
        <v>1648.2332500000002</v>
      </c>
      <c r="N22" s="260">
        <f>N21 + N20</f>
        <v>1607.00261</v>
      </c>
      <c r="O22" s="480">
        <f t="shared" si="9"/>
        <v>1612.5000000000009</v>
      </c>
      <c r="P22" s="481">
        <f t="shared" si="9"/>
        <v>1619.600000000001</v>
      </c>
      <c r="Q22" s="481">
        <f t="shared" si="9"/>
        <v>1685.3262120071224</v>
      </c>
      <c r="R22" s="481">
        <f t="shared" si="9"/>
        <v>1692.4262120071226</v>
      </c>
      <c r="S22" s="481">
        <f t="shared" si="9"/>
        <v>1699.5262120071227</v>
      </c>
      <c r="T22" s="481">
        <f t="shared" si="9"/>
        <v>1706.6262120071228</v>
      </c>
      <c r="U22" s="481">
        <f t="shared" si="9"/>
        <v>1783.9785508694649</v>
      </c>
      <c r="V22" s="481">
        <f t="shared" si="9"/>
        <v>1791.0785508694651</v>
      </c>
      <c r="W22" s="481">
        <f t="shared" si="9"/>
        <v>1798.1785508694652</v>
      </c>
      <c r="X22" s="481">
        <f t="shared" si="9"/>
        <v>1805.2785508694653</v>
      </c>
      <c r="Y22" s="481">
        <f t="shared" si="9"/>
        <v>1878.701320206336</v>
      </c>
      <c r="Z22" s="481">
        <f t="shared" ref="Z22:AC22" si="10">Z21 + Z20</f>
        <v>1885.8013202063362</v>
      </c>
      <c r="AA22" s="481">
        <f t="shared" si="10"/>
        <v>1892.9013202063363</v>
      </c>
      <c r="AB22" s="481">
        <f t="shared" si="10"/>
        <v>1900.0013202063365</v>
      </c>
      <c r="AC22" s="482">
        <f t="shared" si="10"/>
        <v>1907.1013202063366</v>
      </c>
    </row>
    <row r="23" spans="1:29" ht="30">
      <c r="B23" s="259" t="s">
        <v>506</v>
      </c>
      <c r="C23" s="562"/>
      <c r="D23" s="1000"/>
      <c r="E23" s="37"/>
      <c r="F23" s="37"/>
      <c r="G23" s="37"/>
      <c r="H23" s="977"/>
      <c r="I23" s="977"/>
      <c r="J23" s="977"/>
      <c r="K23" s="977"/>
      <c r="L23" s="977"/>
      <c r="M23" s="977">
        <f t="shared" ref="M23:Y23" si="11">SUM(M24:M25)</f>
        <v>0</v>
      </c>
      <c r="N23" s="977">
        <f t="shared" si="11"/>
        <v>53.448640000000026</v>
      </c>
      <c r="O23" s="222">
        <f t="shared" si="11"/>
        <v>243.98336000000015</v>
      </c>
      <c r="P23" s="213">
        <f t="shared" si="11"/>
        <v>151.73599999999999</v>
      </c>
      <c r="Q23" s="213">
        <f t="shared" si="11"/>
        <v>151.73599999999999</v>
      </c>
      <c r="R23" s="213">
        <f t="shared" si="11"/>
        <v>151.73599999999999</v>
      </c>
      <c r="S23" s="213">
        <f t="shared" si="11"/>
        <v>151.73599999999999</v>
      </c>
      <c r="T23" s="213">
        <f t="shared" si="11"/>
        <v>14.116</v>
      </c>
      <c r="U23" s="213">
        <f t="shared" si="11"/>
        <v>14.116</v>
      </c>
      <c r="V23" s="213">
        <f t="shared" si="11"/>
        <v>14.116</v>
      </c>
      <c r="W23" s="213">
        <f t="shared" si="11"/>
        <v>14.116</v>
      </c>
      <c r="X23" s="213">
        <f t="shared" si="11"/>
        <v>6.4009999999999998</v>
      </c>
      <c r="Y23" s="213">
        <f t="shared" si="11"/>
        <v>6.4009999999999998</v>
      </c>
      <c r="Z23" s="213">
        <f t="shared" ref="Z23:AC23" si="12">SUM(Z24:Z25)</f>
        <v>6.4009999999999998</v>
      </c>
      <c r="AA23" s="213">
        <f t="shared" si="12"/>
        <v>6.4009999999999998</v>
      </c>
      <c r="AB23" s="213">
        <f t="shared" si="12"/>
        <v>4.702</v>
      </c>
      <c r="AC23" s="1067">
        <f t="shared" si="12"/>
        <v>4.702</v>
      </c>
    </row>
    <row r="24" spans="1:29" s="470" customFormat="1" ht="15">
      <c r="B24" s="326" t="s">
        <v>549</v>
      </c>
      <c r="C24" s="189"/>
      <c r="D24" s="967"/>
      <c r="E24" s="968"/>
      <c r="F24" s="968"/>
      <c r="G24" s="968"/>
      <c r="H24" s="260"/>
      <c r="I24" s="260"/>
      <c r="J24" s="260"/>
      <c r="K24" s="260"/>
      <c r="L24" s="260"/>
      <c r="M24" s="260">
        <f>'ARP Quarterly'!C5</f>
        <v>0</v>
      </c>
      <c r="N24" s="260">
        <f>'ARP Quarterly'!D5</f>
        <v>53.448640000000026</v>
      </c>
      <c r="O24" s="480">
        <f>'ARP Quarterly'!E5</f>
        <v>137.43936000000005</v>
      </c>
      <c r="P24" s="481">
        <f>'ARP Quarterly'!F5</f>
        <v>52.756999999999998</v>
      </c>
      <c r="Q24" s="481">
        <f>'ARP Quarterly'!G5</f>
        <v>52.756999999999998</v>
      </c>
      <c r="R24" s="481">
        <f>'ARP Quarterly'!H5</f>
        <v>52.756999999999998</v>
      </c>
      <c r="S24" s="481">
        <f>'ARP Quarterly'!I5</f>
        <v>52.756999999999998</v>
      </c>
      <c r="T24" s="481">
        <f>'ARP Quarterly'!J5</f>
        <v>12</v>
      </c>
      <c r="U24" s="481">
        <f>'ARP Quarterly'!K5</f>
        <v>12</v>
      </c>
      <c r="V24" s="481">
        <f>'ARP Quarterly'!L5</f>
        <v>12</v>
      </c>
      <c r="W24" s="481">
        <f>'ARP Quarterly'!M5</f>
        <v>12</v>
      </c>
      <c r="X24" s="481">
        <f>'ARP Quarterly'!N5</f>
        <v>4.2219999999999995</v>
      </c>
      <c r="Y24" s="481">
        <f>'ARP Quarterly'!O5</f>
        <v>4.2219999999999995</v>
      </c>
      <c r="Z24" s="481">
        <f>'ARP Quarterly'!P5</f>
        <v>4.2219999999999995</v>
      </c>
      <c r="AA24" s="481">
        <f>'ARP Quarterly'!Q5</f>
        <v>4.2219999999999995</v>
      </c>
      <c r="AB24" s="481">
        <f>'ARP Quarterly'!R5</f>
        <v>2.3719999999999999</v>
      </c>
      <c r="AC24" s="482">
        <f>'ARP Quarterly'!S5</f>
        <v>2.3719999999999999</v>
      </c>
    </row>
    <row r="25" spans="1:29" ht="15">
      <c r="B25" s="326" t="s">
        <v>431</v>
      </c>
      <c r="C25" s="189"/>
      <c r="D25" s="967"/>
      <c r="E25" s="968"/>
      <c r="F25" s="968"/>
      <c r="G25" s="968"/>
      <c r="H25" s="260"/>
      <c r="I25" s="260"/>
      <c r="J25" s="260"/>
      <c r="K25" s="260"/>
      <c r="L25" s="260"/>
      <c r="M25" s="260">
        <f>'ARP Quarterly'!C4</f>
        <v>0</v>
      </c>
      <c r="N25" s="260">
        <f>'ARP Quarterly'!D4</f>
        <v>0</v>
      </c>
      <c r="O25" s="480">
        <f>'ARP Quarterly'!E4</f>
        <v>106.5440000000001</v>
      </c>
      <c r="P25" s="481">
        <f>'ARP Quarterly'!F4</f>
        <v>98.978999999999999</v>
      </c>
      <c r="Q25" s="481">
        <f>'ARP Quarterly'!G4</f>
        <v>98.978999999999999</v>
      </c>
      <c r="R25" s="481">
        <f>'ARP Quarterly'!H4</f>
        <v>98.978999999999999</v>
      </c>
      <c r="S25" s="481">
        <f>'ARP Quarterly'!I4</f>
        <v>98.978999999999999</v>
      </c>
      <c r="T25" s="481">
        <f>'ARP Quarterly'!J4</f>
        <v>2.1159999999999997</v>
      </c>
      <c r="U25" s="481">
        <f>'ARP Quarterly'!K4</f>
        <v>2.1159999999999997</v>
      </c>
      <c r="V25" s="481">
        <f>'ARP Quarterly'!L4</f>
        <v>2.1159999999999997</v>
      </c>
      <c r="W25" s="481">
        <f>'ARP Quarterly'!M4</f>
        <v>2.1159999999999997</v>
      </c>
      <c r="X25" s="481">
        <f>'ARP Quarterly'!N4</f>
        <v>2.1789999999999998</v>
      </c>
      <c r="Y25" s="481">
        <f>'ARP Quarterly'!O4</f>
        <v>2.1789999999999998</v>
      </c>
      <c r="Z25" s="481">
        <f>'ARP Quarterly'!P4</f>
        <v>2.1789999999999998</v>
      </c>
      <c r="AA25" s="481">
        <f>'ARP Quarterly'!Q4</f>
        <v>2.1789999999999998</v>
      </c>
      <c r="AB25" s="481">
        <f>'ARP Quarterly'!R4</f>
        <v>2.33</v>
      </c>
      <c r="AC25" s="482">
        <f>'ARP Quarterly'!S4</f>
        <v>2.33</v>
      </c>
    </row>
    <row r="26" spans="1:29">
      <c r="B26" s="257"/>
      <c r="C26" s="189"/>
      <c r="D26" s="967"/>
      <c r="E26" s="968"/>
      <c r="F26" s="968"/>
      <c r="G26" s="968"/>
      <c r="H26" s="260"/>
      <c r="I26" s="260"/>
      <c r="J26" s="260"/>
      <c r="K26" s="260"/>
      <c r="L26" s="260"/>
      <c r="M26" s="260"/>
      <c r="N26" s="260"/>
      <c r="O26" s="480"/>
      <c r="P26" s="481"/>
      <c r="Q26" s="481"/>
      <c r="R26" s="481"/>
      <c r="S26" s="481"/>
      <c r="T26" s="481"/>
      <c r="U26" s="481"/>
      <c r="V26" s="481"/>
      <c r="W26" s="481"/>
      <c r="X26" s="481"/>
      <c r="Y26" s="481"/>
      <c r="Z26" s="481"/>
      <c r="AA26" s="481"/>
      <c r="AB26" s="481"/>
      <c r="AC26" s="482"/>
    </row>
    <row r="27" spans="1:29">
      <c r="B27" s="1481" t="s">
        <v>425</v>
      </c>
      <c r="C27" s="1478"/>
      <c r="D27" s="1005"/>
      <c r="E27" s="1006"/>
      <c r="F27" s="1006"/>
      <c r="G27" s="1006"/>
      <c r="H27" s="1007"/>
      <c r="I27" s="1007"/>
      <c r="J27" s="1007"/>
      <c r="K27" s="1007"/>
      <c r="L27" s="1007"/>
      <c r="M27" s="1007"/>
      <c r="N27" s="1007"/>
      <c r="O27" s="962"/>
      <c r="P27" s="963"/>
      <c r="Q27" s="963"/>
      <c r="R27" s="963"/>
      <c r="S27" s="963"/>
      <c r="T27" s="963"/>
      <c r="U27" s="963"/>
      <c r="V27" s="963"/>
      <c r="W27" s="963"/>
      <c r="X27" s="963"/>
      <c r="Y27" s="963"/>
      <c r="Z27" s="963"/>
      <c r="AA27" s="963"/>
      <c r="AB27" s="963"/>
      <c r="AC27" s="1066"/>
    </row>
    <row r="28" spans="1:29">
      <c r="B28" s="212" t="s">
        <v>7</v>
      </c>
      <c r="C28" s="562" t="s">
        <v>233</v>
      </c>
      <c r="D28" s="976">
        <f>'Haver Pivoted'!GO37</f>
        <v>731.6</v>
      </c>
      <c r="E28" s="977">
        <f>'Haver Pivoted'!GP37</f>
        <v>741.5</v>
      </c>
      <c r="F28" s="977">
        <f>'Haver Pivoted'!GQ37</f>
        <v>758.6</v>
      </c>
      <c r="G28" s="977">
        <f>'Haver Pivoted'!GR37</f>
        <v>767.8</v>
      </c>
      <c r="H28" s="977">
        <f>'Haver Pivoted'!GS37</f>
        <v>767.1</v>
      </c>
      <c r="I28" s="977">
        <f>'Haver Pivoted'!GT37</f>
        <v>755.9</v>
      </c>
      <c r="J28" s="977">
        <f>'Haver Pivoted'!GU37</f>
        <v>803.8</v>
      </c>
      <c r="K28" s="977">
        <f>'Haver Pivoted'!GV37</f>
        <v>842.2</v>
      </c>
      <c r="L28" s="977">
        <f>'Haver Pivoted'!GW37</f>
        <v>831.1</v>
      </c>
      <c r="M28" s="977">
        <f>'Haver Pivoted'!GX37</f>
        <v>850</v>
      </c>
      <c r="N28" s="977">
        <f>'Haver Pivoted'!GY37</f>
        <v>890.5</v>
      </c>
      <c r="O28" s="1132">
        <f t="shared" ref="O28:Y28" si="13">O29+O30</f>
        <v>909.41121102770057</v>
      </c>
      <c r="P28" s="1133">
        <f t="shared" si="13"/>
        <v>922.95187514134284</v>
      </c>
      <c r="Q28" s="1133">
        <f t="shared" si="13"/>
        <v>936.69570698615053</v>
      </c>
      <c r="R28" s="1133">
        <f t="shared" si="13"/>
        <v>950.64577438535412</v>
      </c>
      <c r="S28" s="1133">
        <f t="shared" si="13"/>
        <v>964.8051917274762</v>
      </c>
      <c r="T28" s="1133">
        <f t="shared" si="13"/>
        <v>969.21416034852177</v>
      </c>
      <c r="U28" s="1133">
        <f t="shared" si="13"/>
        <v>973.65430630225956</v>
      </c>
      <c r="V28" s="1133">
        <f t="shared" si="13"/>
        <v>978.12593819325252</v>
      </c>
      <c r="W28" s="1133">
        <f t="shared" si="13"/>
        <v>982.62936813592626</v>
      </c>
      <c r="X28" s="1133">
        <f t="shared" si="13"/>
        <v>1017.8900376358793</v>
      </c>
      <c r="Y28" s="1133">
        <f t="shared" si="13"/>
        <v>1054.5351839019586</v>
      </c>
      <c r="Z28" s="1133">
        <f t="shared" ref="Z28:AC28" si="14">Z29+Z30</f>
        <v>1092.6208034698454</v>
      </c>
      <c r="AA28" s="1133">
        <f t="shared" si="14"/>
        <v>1132.2051782436715</v>
      </c>
      <c r="AB28" s="1133">
        <f t="shared" si="14"/>
        <v>1173.3489690181389</v>
      </c>
      <c r="AC28" s="1134">
        <f t="shared" si="14"/>
        <v>1216.1153128307808</v>
      </c>
    </row>
    <row r="29" spans="1:29">
      <c r="B29" s="217" t="s">
        <v>430</v>
      </c>
      <c r="C29" s="562"/>
      <c r="D29" s="976">
        <v>589.54899999999998</v>
      </c>
      <c r="E29" s="977">
        <v>598.78200000000004</v>
      </c>
      <c r="F29" s="977">
        <v>614.49400000000003</v>
      </c>
      <c r="G29" s="977">
        <v>622.35699999999997</v>
      </c>
      <c r="H29" s="977">
        <f>Medicaid!D25</f>
        <v>620.5</v>
      </c>
      <c r="I29" s="977">
        <f>Medicaid!E25</f>
        <v>606.20000000000005</v>
      </c>
      <c r="J29" s="977">
        <f>Medicaid!F25</f>
        <v>654.20000000000005</v>
      </c>
      <c r="K29" s="977">
        <f>Medicaid!G25</f>
        <v>690.4</v>
      </c>
      <c r="L29" s="977">
        <f>Medicaid!H25</f>
        <v>678.3</v>
      </c>
      <c r="M29" s="977">
        <f>Medicaid!I25</f>
        <v>695.9</v>
      </c>
      <c r="N29" s="977">
        <f>Medicaid!J25</f>
        <v>735.5</v>
      </c>
      <c r="O29" s="1132">
        <f>Medicaid!K25</f>
        <v>752.5471675758439</v>
      </c>
      <c r="P29" s="1133">
        <f>Medicaid!L25</f>
        <v>764.20137108930442</v>
      </c>
      <c r="Q29" s="1133">
        <f>Medicaid!M25</f>
        <v>776.03605559503376</v>
      </c>
      <c r="R29" s="1133">
        <f>Medicaid!N25</f>
        <v>788.0540160835717</v>
      </c>
      <c r="S29" s="1133">
        <f>Medicaid!O25</f>
        <v>800.25809082964031</v>
      </c>
      <c r="T29" s="1133">
        <f>Medicaid!P25</f>
        <v>802.68820173487552</v>
      </c>
      <c r="U29" s="1133">
        <f>Medicaid!Q25</f>
        <v>805.12569205817522</v>
      </c>
      <c r="V29" s="1133">
        <f>Medicaid!R25</f>
        <v>807.57058420831549</v>
      </c>
      <c r="W29" s="1133">
        <f>Medicaid!S25</f>
        <v>810.02290066212015</v>
      </c>
      <c r="X29" s="1133">
        <f>Medicaid!T25</f>
        <v>843.20778980437865</v>
      </c>
      <c r="Y29" s="1133">
        <f>Medicaid!U25</f>
        <v>877.75219219803273</v>
      </c>
      <c r="Z29" s="1133">
        <f>Medicaid!V25</f>
        <v>913.71180416536913</v>
      </c>
      <c r="AA29" s="1133">
        <f>Medicaid!W25</f>
        <v>951.14460378673266</v>
      </c>
      <c r="AB29" s="1133">
        <f>Medicaid!X25</f>
        <v>990.11094437922668</v>
      </c>
      <c r="AC29" s="1133">
        <f>Medicaid!Y25</f>
        <v>1030.6736518050343</v>
      </c>
    </row>
    <row r="30" spans="1:29" ht="28" customHeight="1">
      <c r="B30" s="254" t="s">
        <v>445</v>
      </c>
      <c r="C30" s="189"/>
      <c r="D30" s="1002">
        <f t="shared" ref="D30:N30" si="15">D28-D29</f>
        <v>142.05100000000004</v>
      </c>
      <c r="E30" s="260">
        <f t="shared" si="15"/>
        <v>142.71799999999996</v>
      </c>
      <c r="F30" s="260">
        <f t="shared" si="15"/>
        <v>144.10599999999999</v>
      </c>
      <c r="G30" s="260">
        <f t="shared" si="15"/>
        <v>145.44299999999998</v>
      </c>
      <c r="H30" s="260">
        <f t="shared" si="15"/>
        <v>146.60000000000002</v>
      </c>
      <c r="I30" s="260">
        <f t="shared" si="15"/>
        <v>149.69999999999993</v>
      </c>
      <c r="J30" s="260">
        <f t="shared" si="15"/>
        <v>149.59999999999991</v>
      </c>
      <c r="K30" s="260">
        <f t="shared" si="15"/>
        <v>151.80000000000007</v>
      </c>
      <c r="L30" s="260">
        <f t="shared" si="15"/>
        <v>152.80000000000007</v>
      </c>
      <c r="M30" s="260">
        <f t="shared" si="15"/>
        <v>154.10000000000002</v>
      </c>
      <c r="N30" s="260">
        <f t="shared" si="15"/>
        <v>155</v>
      </c>
      <c r="O30" s="480">
        <f t="shared" ref="O30:Y30" si="16">N30*(1+AVERAGE($F$31:$I$31))</f>
        <v>156.86404345185662</v>
      </c>
      <c r="P30" s="481">
        <f t="shared" si="16"/>
        <v>158.75050405203845</v>
      </c>
      <c r="Q30" s="481">
        <f t="shared" si="16"/>
        <v>160.65965139111677</v>
      </c>
      <c r="R30" s="481">
        <f t="shared" si="16"/>
        <v>162.59175830178242</v>
      </c>
      <c r="S30" s="481">
        <f t="shared" si="16"/>
        <v>164.54710089783592</v>
      </c>
      <c r="T30" s="481">
        <f t="shared" si="16"/>
        <v>166.52595861364625</v>
      </c>
      <c r="U30" s="481">
        <f t="shared" si="16"/>
        <v>168.52861424408439</v>
      </c>
      <c r="V30" s="481">
        <f t="shared" si="16"/>
        <v>170.555353984937</v>
      </c>
      <c r="W30" s="481">
        <f t="shared" si="16"/>
        <v>172.60646747380608</v>
      </c>
      <c r="X30" s="481">
        <f t="shared" si="16"/>
        <v>174.68224783150058</v>
      </c>
      <c r="Y30" s="481">
        <f t="shared" si="16"/>
        <v>176.78299170392575</v>
      </c>
      <c r="Z30" s="481">
        <f t="shared" ref="Z30" si="17">Y30*(1+AVERAGE($F$31:$I$31))</f>
        <v>178.90899930447623</v>
      </c>
      <c r="AA30" s="481">
        <f t="shared" ref="AA30" si="18">Z30*(1+AVERAGE($F$31:$I$31))</f>
        <v>181.06057445693898</v>
      </c>
      <c r="AB30" s="481">
        <f t="shared" ref="AB30" si="19">AA30*(1+AVERAGE($F$31:$I$31))</f>
        <v>183.23802463891224</v>
      </c>
      <c r="AC30" s="1135">
        <f t="shared" ref="AC30" si="20">AB30*(1+AVERAGE($F$31:$I$31))</f>
        <v>185.44166102574647</v>
      </c>
    </row>
    <row r="31" spans="1:29" ht="19" customHeight="1">
      <c r="B31" s="256" t="s">
        <v>444</v>
      </c>
      <c r="C31" s="562"/>
      <c r="D31" s="1003"/>
      <c r="E31" s="1004">
        <f t="shared" ref="E31:M31" si="21">E30/D30-1</f>
        <v>4.6954966878087756E-3</v>
      </c>
      <c r="F31" s="1004">
        <f t="shared" si="21"/>
        <v>9.7254726103226385E-3</v>
      </c>
      <c r="G31" s="1004">
        <f t="shared" si="21"/>
        <v>9.2778926623457991E-3</v>
      </c>
      <c r="H31" s="1004">
        <f t="shared" si="21"/>
        <v>7.9550064286355582E-3</v>
      </c>
      <c r="I31" s="1004">
        <f t="shared" si="21"/>
        <v>2.1145975443382703E-2</v>
      </c>
      <c r="J31" s="1004">
        <f t="shared" si="21"/>
        <v>-6.6800267201083674E-4</v>
      </c>
      <c r="K31" s="1004">
        <f t="shared" si="21"/>
        <v>1.4705882352942234E-2</v>
      </c>
      <c r="L31" s="1004">
        <f t="shared" si="21"/>
        <v>6.5876152832673451E-3</v>
      </c>
      <c r="M31" s="1004">
        <f t="shared" si="21"/>
        <v>8.5078534031410857E-3</v>
      </c>
      <c r="N31" s="1004">
        <f t="shared" ref="N31" si="22">N30/M30-1</f>
        <v>5.8403634003891813E-3</v>
      </c>
      <c r="O31" s="483">
        <f t="shared" ref="O31" si="23">O30/N30-1</f>
        <v>1.2026086786171675E-2</v>
      </c>
      <c r="P31" s="484">
        <f t="shared" ref="P31" si="24">P30/O30-1</f>
        <v>1.2026086786171675E-2</v>
      </c>
      <c r="Q31" s="484">
        <f t="shared" ref="Q31" si="25">Q30/P30-1</f>
        <v>1.2026086786171675E-2</v>
      </c>
      <c r="R31" s="484">
        <f t="shared" ref="R31" si="26">R30/Q30-1</f>
        <v>1.2026086786171675E-2</v>
      </c>
      <c r="S31" s="484">
        <f t="shared" ref="S31" si="27">S30/R30-1</f>
        <v>1.2026086786171675E-2</v>
      </c>
      <c r="T31" s="484">
        <f t="shared" ref="T31" si="28">T30/S30-1</f>
        <v>1.2026086786171675E-2</v>
      </c>
      <c r="U31" s="484">
        <f t="shared" ref="U31" si="29">U30/T30-1</f>
        <v>1.2026086786171675E-2</v>
      </c>
      <c r="V31" s="484">
        <f t="shared" ref="V31" si="30">V30/U30-1</f>
        <v>1.2026086786171675E-2</v>
      </c>
      <c r="W31" s="484">
        <f t="shared" ref="W31" si="31">W30/V30-1</f>
        <v>1.2026086786171675E-2</v>
      </c>
      <c r="X31" s="484">
        <f t="shared" ref="X31" si="32">X30/W30-1</f>
        <v>1.2026086786171675E-2</v>
      </c>
      <c r="Y31" s="484">
        <f t="shared" ref="Y31" si="33">Y30/X30-1</f>
        <v>1.2026086786171675E-2</v>
      </c>
      <c r="Z31" s="484">
        <f t="shared" ref="Z31" si="34">Z30/Y30-1</f>
        <v>1.2026086786171675E-2</v>
      </c>
      <c r="AA31" s="484">
        <f t="shared" ref="AA31" si="35">AA30/Z30-1</f>
        <v>1.2026086786171675E-2</v>
      </c>
      <c r="AB31" s="484">
        <f t="shared" ref="AB31" si="36">AB30/AA30-1</f>
        <v>1.2026086786171675E-2</v>
      </c>
      <c r="AC31" s="1065">
        <f t="shared" ref="AC31" si="37">AC30/AB30-1</f>
        <v>1.2026086786171675E-2</v>
      </c>
    </row>
    <row r="32" spans="1:29">
      <c r="B32" s="1478"/>
      <c r="C32" s="1478"/>
      <c r="D32" s="246"/>
      <c r="E32" s="246"/>
      <c r="F32" s="246"/>
      <c r="G32" s="246"/>
      <c r="H32" s="48"/>
      <c r="I32" s="48"/>
      <c r="J32" s="48"/>
      <c r="K32" s="48"/>
      <c r="L32" s="48"/>
      <c r="M32" s="48"/>
      <c r="N32" s="381"/>
      <c r="O32" s="381"/>
      <c r="P32" s="381"/>
      <c r="Q32" s="381"/>
      <c r="R32" s="381"/>
      <c r="S32" s="381"/>
      <c r="T32" s="381"/>
      <c r="U32" s="381"/>
      <c r="V32" s="381"/>
      <c r="W32" s="381"/>
      <c r="X32" s="381"/>
      <c r="Y32" s="381"/>
      <c r="Z32" s="37"/>
    </row>
    <row r="33" spans="2:29">
      <c r="B33" s="57" t="s">
        <v>400</v>
      </c>
    </row>
    <row r="34" spans="2:29" ht="23" customHeight="1">
      <c r="B34" s="489" t="s">
        <v>657</v>
      </c>
      <c r="C34" s="485">
        <v>2020</v>
      </c>
      <c r="D34" s="485">
        <v>2021</v>
      </c>
      <c r="E34" s="485">
        <v>2022</v>
      </c>
      <c r="F34" s="485">
        <v>2023</v>
      </c>
      <c r="G34" s="486">
        <v>2024</v>
      </c>
    </row>
    <row r="35" spans="2:29" ht="23" customHeight="1">
      <c r="B35" s="490" t="s">
        <v>1078</v>
      </c>
      <c r="C35" s="487">
        <v>1090</v>
      </c>
      <c r="D35" s="487">
        <v>1129</v>
      </c>
      <c r="E35" s="487">
        <v>1203</v>
      </c>
      <c r="F35" s="487">
        <v>1281</v>
      </c>
      <c r="G35" s="488">
        <v>1358</v>
      </c>
    </row>
    <row r="36" spans="2:29">
      <c r="B36" s="490" t="s">
        <v>529</v>
      </c>
      <c r="C36" s="487">
        <v>300.51900000000001</v>
      </c>
      <c r="D36" s="487">
        <v>300.82</v>
      </c>
      <c r="E36" s="487">
        <v>307.28300000000002</v>
      </c>
      <c r="F36" s="487">
        <v>320.10899999999998</v>
      </c>
      <c r="G36" s="488">
        <v>329.596</v>
      </c>
    </row>
    <row r="37" spans="2:29">
      <c r="B37" s="490" t="s">
        <v>530</v>
      </c>
      <c r="C37" s="487">
        <v>124.39699999999999</v>
      </c>
      <c r="D37" s="487">
        <v>129.75700000000001</v>
      </c>
      <c r="E37" s="487">
        <v>133.31899999999999</v>
      </c>
      <c r="F37" s="487">
        <v>138.328</v>
      </c>
      <c r="G37" s="488">
        <v>144.351</v>
      </c>
    </row>
    <row r="38" spans="2:29">
      <c r="B38" s="490" t="s">
        <v>531</v>
      </c>
      <c r="C38" s="487">
        <v>1.976</v>
      </c>
      <c r="D38" s="487">
        <v>3.512</v>
      </c>
      <c r="E38" s="487">
        <v>4.5960000000000001</v>
      </c>
      <c r="F38" s="487">
        <v>5.24</v>
      </c>
      <c r="G38" s="488">
        <v>5.3659999999999997</v>
      </c>
    </row>
    <row r="39" spans="2:29">
      <c r="B39" s="49"/>
      <c r="C39" s="35"/>
      <c r="D39" s="35"/>
      <c r="E39" s="35"/>
      <c r="F39" s="35"/>
      <c r="G39" s="45"/>
    </row>
    <row r="40" spans="2:29">
      <c r="B40" s="49" t="s">
        <v>658</v>
      </c>
      <c r="C40" s="110">
        <f>SUM(C35:C38)</f>
        <v>1516.8920000000001</v>
      </c>
      <c r="D40" s="110">
        <f t="shared" ref="D40:G40" si="38">SUM(D35:D38)</f>
        <v>1563.0889999999999</v>
      </c>
      <c r="E40" s="110">
        <f t="shared" si="38"/>
        <v>1648.1979999999999</v>
      </c>
      <c r="F40" s="110">
        <f t="shared" si="38"/>
        <v>1744.6769999999999</v>
      </c>
      <c r="G40" s="111">
        <f t="shared" si="38"/>
        <v>1837.3130000000001</v>
      </c>
    </row>
    <row r="41" spans="2:29">
      <c r="B41" s="492" t="s">
        <v>659</v>
      </c>
      <c r="C41" s="47"/>
      <c r="D41" s="388">
        <f>D40/C40</f>
        <v>1.0304550356914004</v>
      </c>
      <c r="E41" s="388">
        <f>E40/D40</f>
        <v>1.0544492348164436</v>
      </c>
      <c r="F41" s="388">
        <f>F40/E40</f>
        <v>1.0585360496736436</v>
      </c>
      <c r="G41" s="479">
        <f>G40/F40</f>
        <v>1.0530963611029436</v>
      </c>
    </row>
    <row r="45" spans="2:29">
      <c r="B45" s="57" t="s">
        <v>401</v>
      </c>
    </row>
    <row r="46" spans="2:29">
      <c r="B46" s="1390" t="s">
        <v>683</v>
      </c>
      <c r="C46" s="1391"/>
      <c r="D46" s="1402" t="s">
        <v>261</v>
      </c>
      <c r="E46" s="1403"/>
      <c r="F46" s="1403"/>
      <c r="G46" s="1403"/>
      <c r="H46" s="1403"/>
      <c r="I46" s="1403"/>
      <c r="J46" s="1403"/>
      <c r="K46" s="1403"/>
      <c r="L46" s="1403"/>
      <c r="M46" s="1403"/>
      <c r="N46" s="1404"/>
      <c r="O46" s="1388" t="s">
        <v>143</v>
      </c>
      <c r="P46" s="1437"/>
      <c r="Q46" s="1437"/>
      <c r="R46" s="1437"/>
      <c r="S46" s="1437"/>
      <c r="T46" s="1437"/>
      <c r="U46" s="1437"/>
      <c r="V46" s="1437"/>
      <c r="W46" s="1437"/>
      <c r="X46" s="1437"/>
      <c r="Y46" s="1399"/>
      <c r="Z46" s="1399"/>
      <c r="AA46" s="1399"/>
      <c r="AB46" s="1399"/>
      <c r="AC46" s="1400"/>
    </row>
    <row r="47" spans="2:29">
      <c r="B47" s="1392"/>
      <c r="C47" s="1431"/>
      <c r="D47" s="229">
        <v>2018</v>
      </c>
      <c r="E47" s="1474">
        <v>2019</v>
      </c>
      <c r="F47" s="1475"/>
      <c r="G47" s="1475"/>
      <c r="H47" s="1476"/>
      <c r="I47" s="1373">
        <v>2020</v>
      </c>
      <c r="J47" s="1426"/>
      <c r="K47" s="1426"/>
      <c r="L47" s="1477"/>
      <c r="M47" s="1373">
        <v>2021</v>
      </c>
      <c r="N47" s="1383"/>
      <c r="O47" s="1438">
        <v>2021</v>
      </c>
      <c r="P47" s="1439"/>
      <c r="Q47" s="1438">
        <v>2022</v>
      </c>
      <c r="R47" s="1442"/>
      <c r="S47" s="1442"/>
      <c r="T47" s="1442"/>
      <c r="U47" s="1438">
        <v>2023</v>
      </c>
      <c r="V47" s="1442"/>
      <c r="W47" s="1442"/>
      <c r="X47" s="1442"/>
      <c r="Y47" s="1396">
        <v>2024</v>
      </c>
      <c r="Z47" s="1401"/>
      <c r="AA47" s="1401"/>
      <c r="AB47" s="1401"/>
      <c r="AC47" s="475">
        <v>2025</v>
      </c>
    </row>
    <row r="48" spans="2:29">
      <c r="B48" s="1392"/>
      <c r="C48" s="1431"/>
      <c r="D48" s="232" t="s">
        <v>138</v>
      </c>
      <c r="E48" s="216" t="s">
        <v>135</v>
      </c>
      <c r="F48" s="201" t="s">
        <v>136</v>
      </c>
      <c r="G48" s="201" t="s">
        <v>137</v>
      </c>
      <c r="H48" s="208" t="s">
        <v>138</v>
      </c>
      <c r="I48" s="216" t="s">
        <v>135</v>
      </c>
      <c r="J48" s="201" t="s">
        <v>136</v>
      </c>
      <c r="K48" s="201" t="s">
        <v>137</v>
      </c>
      <c r="L48" s="208" t="s">
        <v>138</v>
      </c>
      <c r="M48" s="216" t="s">
        <v>135</v>
      </c>
      <c r="N48" s="208" t="s">
        <v>136</v>
      </c>
      <c r="O48" s="891" t="s">
        <v>137</v>
      </c>
      <c r="P48" s="893" t="s">
        <v>138</v>
      </c>
      <c r="Q48" s="891" t="s">
        <v>135</v>
      </c>
      <c r="R48" s="892" t="s">
        <v>136</v>
      </c>
      <c r="S48" s="892" t="s">
        <v>137</v>
      </c>
      <c r="T48" s="892" t="s">
        <v>138</v>
      </c>
      <c r="U48" s="891" t="s">
        <v>135</v>
      </c>
      <c r="V48" s="892" t="s">
        <v>136</v>
      </c>
      <c r="W48" s="892" t="s">
        <v>137</v>
      </c>
      <c r="X48" s="892" t="s">
        <v>138</v>
      </c>
      <c r="Y48" s="64" t="s">
        <v>135</v>
      </c>
      <c r="Z48" s="698" t="s">
        <v>136</v>
      </c>
      <c r="AA48" s="65" t="s">
        <v>137</v>
      </c>
      <c r="AB48" s="65" t="s">
        <v>138</v>
      </c>
      <c r="AC48" s="67" t="s">
        <v>135</v>
      </c>
    </row>
    <row r="49" spans="2:29">
      <c r="B49" s="46" t="s">
        <v>502</v>
      </c>
      <c r="C49" s="562"/>
      <c r="D49" s="704">
        <f t="shared" ref="D49:Y49" si="39">SUM(D13:D18)</f>
        <v>781.30000000000007</v>
      </c>
      <c r="E49" s="959">
        <f t="shared" si="39"/>
        <v>796.69999999999993</v>
      </c>
      <c r="F49" s="959">
        <f t="shared" si="39"/>
        <v>808.9</v>
      </c>
      <c r="G49" s="959">
        <f t="shared" si="39"/>
        <v>819.5</v>
      </c>
      <c r="H49" s="959">
        <f t="shared" si="39"/>
        <v>828.09999999999991</v>
      </c>
      <c r="I49" s="959">
        <f t="shared" si="39"/>
        <v>850.58175000000006</v>
      </c>
      <c r="J49" s="959">
        <f t="shared" si="39"/>
        <v>3156.4587499999998</v>
      </c>
      <c r="K49" s="959">
        <f t="shared" si="39"/>
        <v>1732.6267499999999</v>
      </c>
      <c r="L49" s="959">
        <f t="shared" si="39"/>
        <v>1209.5507500000001</v>
      </c>
      <c r="M49" s="959">
        <f t="shared" si="39"/>
        <v>3422.3667500000001</v>
      </c>
      <c r="N49" s="959">
        <f>SUM(N13:N19)</f>
        <v>1760.2973900000002</v>
      </c>
      <c r="O49" s="962">
        <f t="shared" si="39"/>
        <v>1384.191287415965</v>
      </c>
      <c r="P49" s="963">
        <f t="shared" si="39"/>
        <v>945.45367410831921</v>
      </c>
      <c r="Q49" s="963">
        <f t="shared" si="39"/>
        <v>946.9507385117771</v>
      </c>
      <c r="R49" s="963">
        <f t="shared" si="39"/>
        <v>946.52847344890586</v>
      </c>
      <c r="S49" s="963">
        <f t="shared" si="39"/>
        <v>895.07923856912271</v>
      </c>
      <c r="T49" s="963">
        <f t="shared" si="39"/>
        <v>906.13059470719315</v>
      </c>
      <c r="U49" s="963">
        <f t="shared" si="39"/>
        <v>923.01077952369928</v>
      </c>
      <c r="V49" s="963">
        <f t="shared" si="39"/>
        <v>940.44490354822676</v>
      </c>
      <c r="W49" s="963">
        <f t="shared" si="39"/>
        <v>958.20415793863185</v>
      </c>
      <c r="X49" s="963">
        <f t="shared" si="39"/>
        <v>976.31010831991625</v>
      </c>
      <c r="Y49" s="963">
        <f t="shared" si="39"/>
        <v>994.6056298016963</v>
      </c>
      <c r="Z49" s="963">
        <f t="shared" ref="Z49:AC49" si="40">SUM(Z13:Z18)</f>
        <v>1013.1253683791226</v>
      </c>
      <c r="AA49" s="963">
        <f t="shared" si="40"/>
        <v>1031.8753211707983</v>
      </c>
      <c r="AB49" s="963">
        <f t="shared" si="40"/>
        <v>1051.0571158879955</v>
      </c>
      <c r="AC49" s="1066">
        <f t="shared" si="40"/>
        <v>1070.5674810736648</v>
      </c>
    </row>
    <row r="50" spans="2:29">
      <c r="B50" s="46" t="s">
        <v>503</v>
      </c>
      <c r="C50" s="562"/>
      <c r="D50" s="210">
        <f t="shared" ref="D50:Y50" si="41">D12</f>
        <v>2222.3000000000002</v>
      </c>
      <c r="E50" s="211">
        <f t="shared" si="41"/>
        <v>2298.1</v>
      </c>
      <c r="F50" s="211">
        <f t="shared" si="41"/>
        <v>2315.5</v>
      </c>
      <c r="G50" s="211">
        <f t="shared" si="41"/>
        <v>2333.1999999999998</v>
      </c>
      <c r="H50" s="211">
        <f t="shared" si="41"/>
        <v>2350.8000000000002</v>
      </c>
      <c r="I50" s="211">
        <f t="shared" si="41"/>
        <v>2417.9</v>
      </c>
      <c r="J50" s="211">
        <f t="shared" si="41"/>
        <v>4766.7</v>
      </c>
      <c r="K50" s="211">
        <f t="shared" si="41"/>
        <v>3468.3</v>
      </c>
      <c r="L50" s="211">
        <f t="shared" si="41"/>
        <v>2839.1</v>
      </c>
      <c r="M50" s="211">
        <f t="shared" si="41"/>
        <v>5070.6000000000004</v>
      </c>
      <c r="N50" s="211">
        <f t="shared" si="41"/>
        <v>3367.3</v>
      </c>
      <c r="O50" s="222">
        <f t="shared" si="41"/>
        <v>3240.6746474159663</v>
      </c>
      <c r="P50" s="213">
        <f t="shared" si="41"/>
        <v>2716.7896741083205</v>
      </c>
      <c r="Q50" s="213">
        <f t="shared" si="41"/>
        <v>2784.0129505188997</v>
      </c>
      <c r="R50" s="213">
        <f t="shared" si="41"/>
        <v>2790.6906854560284</v>
      </c>
      <c r="S50" s="213">
        <f t="shared" si="41"/>
        <v>2746.3414505762457</v>
      </c>
      <c r="T50" s="213">
        <f t="shared" si="41"/>
        <v>2626.8728067143161</v>
      </c>
      <c r="U50" s="213">
        <f t="shared" si="41"/>
        <v>2721.105330393164</v>
      </c>
      <c r="V50" s="213">
        <f t="shared" si="41"/>
        <v>2745.6394544176919</v>
      </c>
      <c r="W50" s="213">
        <f t="shared" si="41"/>
        <v>2770.498708808097</v>
      </c>
      <c r="X50" s="213">
        <f t="shared" si="41"/>
        <v>2787.9896591893817</v>
      </c>
      <c r="Y50" s="213">
        <f t="shared" si="41"/>
        <v>2879.7079500080322</v>
      </c>
      <c r="Z50" s="213">
        <f t="shared" ref="Z50:AC50" si="42">Z12</f>
        <v>2905.3276885854589</v>
      </c>
      <c r="AA50" s="213">
        <f t="shared" si="42"/>
        <v>2931.1776413771349</v>
      </c>
      <c r="AB50" s="213">
        <f t="shared" si="42"/>
        <v>2955.7604360943319</v>
      </c>
      <c r="AC50" s="1067">
        <f t="shared" si="42"/>
        <v>2982.3708012800016</v>
      </c>
    </row>
    <row r="51" spans="2:29">
      <c r="B51" s="46" t="s">
        <v>504</v>
      </c>
      <c r="C51" s="562"/>
      <c r="D51" s="210">
        <f>D50-D49</f>
        <v>1441</v>
      </c>
      <c r="E51" s="211">
        <f t="shared" ref="E51:N51" si="43">E50-E49</f>
        <v>1501.4</v>
      </c>
      <c r="F51" s="211">
        <f t="shared" si="43"/>
        <v>1506.6</v>
      </c>
      <c r="G51" s="211">
        <f t="shared" si="43"/>
        <v>1513.6999999999998</v>
      </c>
      <c r="H51" s="211">
        <f t="shared" si="43"/>
        <v>1522.7000000000003</v>
      </c>
      <c r="I51" s="211">
        <f t="shared" si="43"/>
        <v>1567.31825</v>
      </c>
      <c r="J51" s="211">
        <f t="shared" si="43"/>
        <v>1610.24125</v>
      </c>
      <c r="K51" s="211">
        <f t="shared" si="43"/>
        <v>1735.6732500000003</v>
      </c>
      <c r="L51" s="211">
        <f t="shared" si="43"/>
        <v>1629.5492499999998</v>
      </c>
      <c r="M51" s="211">
        <f t="shared" si="43"/>
        <v>1648.2332500000002</v>
      </c>
      <c r="N51" s="211">
        <f t="shared" si="43"/>
        <v>1607.00261</v>
      </c>
      <c r="O51" s="891"/>
      <c r="P51" s="892"/>
      <c r="Q51" s="892"/>
      <c r="R51" s="892"/>
      <c r="S51" s="892"/>
      <c r="T51" s="892"/>
      <c r="U51" s="892"/>
      <c r="V51" s="892"/>
      <c r="W51" s="892"/>
      <c r="X51" s="892"/>
      <c r="Y51" s="892"/>
      <c r="Z51" s="892"/>
      <c r="AA51" s="892"/>
      <c r="AB51" s="892"/>
      <c r="AC51" s="893"/>
    </row>
    <row r="52" spans="2:29">
      <c r="B52" s="1000" t="s">
        <v>505</v>
      </c>
      <c r="C52" s="562"/>
      <c r="D52" s="604">
        <f t="shared" ref="D52:I52" si="44">D50-D13 -D14</f>
        <v>1441.0000000000002</v>
      </c>
      <c r="E52" s="605">
        <f t="shared" si="44"/>
        <v>1501.3999999999999</v>
      </c>
      <c r="F52" s="605">
        <f t="shared" si="44"/>
        <v>1506.6</v>
      </c>
      <c r="G52" s="605">
        <f t="shared" si="44"/>
        <v>1513.6999999999998</v>
      </c>
      <c r="H52" s="605">
        <f t="shared" si="44"/>
        <v>1522.7</v>
      </c>
      <c r="I52" s="605">
        <f t="shared" si="44"/>
        <v>1569.9</v>
      </c>
      <c r="J52" s="606">
        <f>I52+($H$52-$E$52)/3</f>
        <v>1577.0000000000002</v>
      </c>
      <c r="K52" s="606">
        <f t="shared" ref="K52" si="45">J52+($H$52-$E$52)/3</f>
        <v>1584.1000000000004</v>
      </c>
      <c r="L52" s="606">
        <f>K52+($H$52-$E$52)/3</f>
        <v>1591.2000000000005</v>
      </c>
      <c r="M52" s="997">
        <f>L52+($H$52-$E$52)/3 +(M53-L53)</f>
        <v>1598.3000000000006</v>
      </c>
      <c r="N52" s="606">
        <f>M52+($H$52-$E$52)/3</f>
        <v>1605.4000000000008</v>
      </c>
      <c r="O52" s="891"/>
      <c r="P52" s="892"/>
      <c r="Q52" s="892"/>
      <c r="R52" s="892"/>
      <c r="S52" s="892"/>
      <c r="T52" s="892"/>
      <c r="U52" s="892"/>
      <c r="V52" s="892"/>
      <c r="W52" s="892"/>
      <c r="X52" s="892"/>
      <c r="Y52" s="892"/>
      <c r="Z52" s="892"/>
      <c r="AA52" s="892"/>
      <c r="AB52" s="892"/>
      <c r="AC52" s="893"/>
    </row>
    <row r="53" spans="2:29">
      <c r="B53" s="217" t="s">
        <v>528</v>
      </c>
      <c r="C53" s="562" t="s">
        <v>716</v>
      </c>
      <c r="D53" s="999">
        <f>'Haver Pivoted'!GO81</f>
        <v>0</v>
      </c>
      <c r="E53" s="998">
        <f>'Haver Pivoted'!GP81</f>
        <v>0</v>
      </c>
      <c r="F53" s="998">
        <f>'Haver Pivoted'!GQ81</f>
        <v>0</v>
      </c>
      <c r="G53" s="998">
        <f>'Haver Pivoted'!GR81</f>
        <v>0</v>
      </c>
      <c r="H53" s="998">
        <f>'Haver Pivoted'!GS81</f>
        <v>0</v>
      </c>
      <c r="I53" s="998">
        <f>'Haver Pivoted'!GT81</f>
        <v>0</v>
      </c>
      <c r="J53" s="998">
        <f>'Haver Pivoted'!GU81</f>
        <v>0</v>
      </c>
      <c r="K53" s="998">
        <f>'Haver Pivoted'!GV81</f>
        <v>0</v>
      </c>
      <c r="L53" s="998">
        <f>'Haver Pivoted'!GW81</f>
        <v>0</v>
      </c>
      <c r="M53" s="998">
        <f>'Haver Pivoted'!GX81</f>
        <v>0</v>
      </c>
      <c r="N53" s="998">
        <f>'Haver Pivoted'!GY81</f>
        <v>0</v>
      </c>
      <c r="O53" s="891"/>
      <c r="P53" s="892"/>
      <c r="Q53" s="892"/>
      <c r="R53" s="892"/>
      <c r="S53" s="892"/>
      <c r="T53" s="892"/>
      <c r="U53" s="892"/>
      <c r="V53" s="892"/>
      <c r="W53" s="892"/>
      <c r="X53" s="892"/>
      <c r="Y53" s="892"/>
      <c r="Z53" s="892"/>
      <c r="AA53" s="892"/>
      <c r="AB53" s="892"/>
      <c r="AC53" s="893"/>
    </row>
    <row r="54" spans="2:29">
      <c r="B54" s="228" t="s">
        <v>684</v>
      </c>
      <c r="C54" s="47"/>
      <c r="D54" s="377">
        <f>D51-D52</f>
        <v>0</v>
      </c>
      <c r="E54" s="376">
        <f t="shared" ref="E54:N54" si="46">E51-E52</f>
        <v>0</v>
      </c>
      <c r="F54" s="376">
        <f t="shared" si="46"/>
        <v>0</v>
      </c>
      <c r="G54" s="376">
        <f t="shared" si="46"/>
        <v>0</v>
      </c>
      <c r="H54" s="376">
        <f t="shared" si="46"/>
        <v>0</v>
      </c>
      <c r="I54" s="376">
        <f t="shared" si="46"/>
        <v>-2.5817500000000564</v>
      </c>
      <c r="J54" s="376">
        <f t="shared" si="46"/>
        <v>33.241249999999809</v>
      </c>
      <c r="K54" s="376">
        <f t="shared" si="46"/>
        <v>151.57324999999992</v>
      </c>
      <c r="L54" s="376">
        <f t="shared" si="46"/>
        <v>38.349249999999302</v>
      </c>
      <c r="M54" s="376">
        <f t="shared" si="46"/>
        <v>49.933249999999589</v>
      </c>
      <c r="N54" s="376">
        <f t="shared" si="46"/>
        <v>1.6026099999992311</v>
      </c>
      <c r="O54" s="1073">
        <v>30</v>
      </c>
      <c r="P54" s="1074">
        <v>30</v>
      </c>
      <c r="Q54" s="1074">
        <v>30</v>
      </c>
      <c r="R54" s="1074">
        <v>25</v>
      </c>
      <c r="S54" s="1074">
        <v>20</v>
      </c>
      <c r="T54" s="1074">
        <v>15</v>
      </c>
      <c r="U54" s="65">
        <v>10</v>
      </c>
      <c r="V54" s="65">
        <v>5</v>
      </c>
      <c r="W54" s="65"/>
      <c r="X54" s="65"/>
      <c r="Y54" s="65"/>
      <c r="Z54" s="65"/>
      <c r="AA54" s="65"/>
      <c r="AB54" s="65"/>
      <c r="AC54" s="66"/>
    </row>
    <row r="55" spans="2:29" ht="39.5" customHeight="1">
      <c r="B55" s="1473" t="s">
        <v>688</v>
      </c>
      <c r="C55" s="1473"/>
      <c r="D55" s="1473"/>
      <c r="E55" s="1473"/>
      <c r="F55" s="1473"/>
      <c r="G55" s="1473"/>
      <c r="H55" s="1473"/>
      <c r="I55" s="1473"/>
      <c r="J55" s="1473"/>
      <c r="K55" s="1473"/>
      <c r="L55" s="1473"/>
      <c r="M55" s="1473"/>
      <c r="N55" s="1473"/>
      <c r="O55" s="1473"/>
      <c r="P55" s="1473"/>
      <c r="Q55" s="1473"/>
      <c r="R55" s="1473"/>
      <c r="S55" s="1473"/>
      <c r="T55" s="1473"/>
      <c r="U55" s="1473"/>
      <c r="V55" s="1473"/>
      <c r="W55" s="1473"/>
      <c r="X55" s="1473"/>
      <c r="Y55" s="1473"/>
      <c r="Z55" s="1473"/>
      <c r="AA55" s="1473"/>
      <c r="AB55" s="1473"/>
      <c r="AC55" s="1473"/>
    </row>
    <row r="56" spans="2:29">
      <c r="D56" s="48"/>
      <c r="E56" s="48"/>
      <c r="F56" s="48"/>
      <c r="G56" s="48"/>
      <c r="H56" s="48"/>
      <c r="I56" s="48"/>
      <c r="J56" s="48"/>
      <c r="K56" s="48"/>
      <c r="L56" s="48"/>
      <c r="M56" s="48"/>
      <c r="N56" s="389"/>
      <c r="O56" s="389"/>
      <c r="P56" s="389"/>
      <c r="Q56" s="389"/>
      <c r="R56" s="389"/>
      <c r="S56" s="389"/>
      <c r="T56" s="389"/>
      <c r="U56" s="389"/>
      <c r="V56" s="389"/>
      <c r="W56" s="389"/>
      <c r="X56" s="389"/>
      <c r="Y56" s="389"/>
    </row>
    <row r="57" spans="2:29">
      <c r="B57" s="57" t="s">
        <v>402</v>
      </c>
      <c r="D57" s="48"/>
      <c r="E57" s="48"/>
      <c r="F57" s="48"/>
      <c r="G57" s="48"/>
      <c r="H57" s="48"/>
      <c r="I57" s="48"/>
      <c r="J57" s="48"/>
      <c r="K57" s="48"/>
      <c r="L57" s="48"/>
      <c r="M57" s="48"/>
      <c r="N57" s="389"/>
      <c r="O57" s="389"/>
      <c r="P57" s="389"/>
      <c r="Q57" s="389"/>
      <c r="R57" s="389"/>
      <c r="S57" s="389"/>
      <c r="T57" s="389"/>
      <c r="U57" s="389"/>
      <c r="V57" s="389"/>
      <c r="W57" s="389"/>
      <c r="X57" s="389"/>
      <c r="Y57" s="389"/>
    </row>
    <row r="58" spans="2:29" ht="45.5" customHeight="1">
      <c r="B58" s="1472" t="s">
        <v>1094</v>
      </c>
      <c r="C58" s="1472"/>
      <c r="D58" s="1472"/>
      <c r="E58" s="1472"/>
      <c r="F58" s="1472"/>
      <c r="G58" s="1472"/>
      <c r="H58" s="1472"/>
      <c r="I58" s="1472"/>
      <c r="J58" s="1472"/>
      <c r="K58" s="1472"/>
      <c r="L58" s="1472"/>
      <c r="M58" s="1472"/>
      <c r="N58" s="1472"/>
      <c r="O58" s="1472"/>
      <c r="P58" s="1472"/>
      <c r="Q58" s="1472"/>
      <c r="R58" s="1472"/>
      <c r="S58" s="1472"/>
      <c r="T58" s="1472"/>
      <c r="U58" s="1472"/>
      <c r="V58" s="1472"/>
      <c r="W58" s="1472"/>
      <c r="X58" s="1472"/>
      <c r="Y58" s="1472"/>
      <c r="Z58" s="1472"/>
      <c r="AA58" s="1472"/>
      <c r="AB58" s="1472"/>
      <c r="AC58" s="1472"/>
    </row>
    <row r="59" spans="2:29" ht="14.5" customHeight="1">
      <c r="B59" s="1392" t="s">
        <v>685</v>
      </c>
      <c r="C59" s="1393"/>
      <c r="D59" s="1402" t="s">
        <v>261</v>
      </c>
      <c r="E59" s="1403"/>
      <c r="F59" s="1403"/>
      <c r="G59" s="1403"/>
      <c r="H59" s="1403"/>
      <c r="I59" s="1403"/>
      <c r="J59" s="1403"/>
      <c r="K59" s="1403"/>
      <c r="L59" s="1403"/>
      <c r="M59" s="1403"/>
      <c r="N59" s="1404"/>
      <c r="O59" s="1388" t="s">
        <v>143</v>
      </c>
      <c r="P59" s="1437"/>
      <c r="Q59" s="1437"/>
      <c r="R59" s="1437"/>
      <c r="S59" s="1437"/>
      <c r="T59" s="1437"/>
      <c r="U59" s="1437"/>
      <c r="V59" s="1437"/>
      <c r="W59" s="1437"/>
      <c r="X59" s="1437"/>
      <c r="Y59" s="1399"/>
      <c r="Z59" s="1399"/>
      <c r="AA59" s="1399"/>
      <c r="AB59" s="1399"/>
      <c r="AC59" s="1400"/>
    </row>
    <row r="60" spans="2:29">
      <c r="B60" s="1392"/>
      <c r="C60" s="1393"/>
      <c r="D60" s="229">
        <v>2018</v>
      </c>
      <c r="E60" s="1474">
        <v>2019</v>
      </c>
      <c r="F60" s="1475"/>
      <c r="G60" s="1475"/>
      <c r="H60" s="1476"/>
      <c r="I60" s="1373">
        <v>2020</v>
      </c>
      <c r="J60" s="1426"/>
      <c r="K60" s="1426"/>
      <c r="L60" s="1477"/>
      <c r="M60" s="1373">
        <v>2021</v>
      </c>
      <c r="N60" s="1383"/>
      <c r="O60" s="1438">
        <v>2021</v>
      </c>
      <c r="P60" s="1439"/>
      <c r="Q60" s="1438">
        <v>2022</v>
      </c>
      <c r="R60" s="1442"/>
      <c r="S60" s="1442"/>
      <c r="T60" s="1442"/>
      <c r="U60" s="1438">
        <v>2023</v>
      </c>
      <c r="V60" s="1442"/>
      <c r="W60" s="1442"/>
      <c r="X60" s="1442"/>
      <c r="Y60" s="1396">
        <v>2024</v>
      </c>
      <c r="Z60" s="1401"/>
      <c r="AA60" s="1401"/>
      <c r="AB60" s="1401"/>
      <c r="AC60" s="475">
        <v>2025</v>
      </c>
    </row>
    <row r="61" spans="2:29">
      <c r="B61" s="1394"/>
      <c r="C61" s="1395"/>
      <c r="D61" s="232" t="s">
        <v>138</v>
      </c>
      <c r="E61" s="216" t="s">
        <v>135</v>
      </c>
      <c r="F61" s="201" t="s">
        <v>136</v>
      </c>
      <c r="G61" s="201" t="s">
        <v>137</v>
      </c>
      <c r="H61" s="208" t="s">
        <v>138</v>
      </c>
      <c r="I61" s="216" t="s">
        <v>135</v>
      </c>
      <c r="J61" s="201" t="s">
        <v>136</v>
      </c>
      <c r="K61" s="201" t="s">
        <v>137</v>
      </c>
      <c r="L61" s="208" t="s">
        <v>138</v>
      </c>
      <c r="M61" s="216" t="s">
        <v>135</v>
      </c>
      <c r="N61" s="208" t="s">
        <v>136</v>
      </c>
      <c r="O61" s="891" t="s">
        <v>137</v>
      </c>
      <c r="P61" s="893" t="s">
        <v>138</v>
      </c>
      <c r="Q61" s="891" t="s">
        <v>135</v>
      </c>
      <c r="R61" s="892" t="s">
        <v>136</v>
      </c>
      <c r="S61" s="892" t="s">
        <v>137</v>
      </c>
      <c r="T61" s="892" t="s">
        <v>138</v>
      </c>
      <c r="U61" s="891" t="s">
        <v>135</v>
      </c>
      <c r="V61" s="892" t="s">
        <v>136</v>
      </c>
      <c r="W61" s="892" t="s">
        <v>137</v>
      </c>
      <c r="X61" s="892" t="s">
        <v>138</v>
      </c>
      <c r="Y61" s="64" t="s">
        <v>135</v>
      </c>
      <c r="Z61" s="698" t="s">
        <v>136</v>
      </c>
      <c r="AA61" s="65" t="s">
        <v>137</v>
      </c>
      <c r="AB61" s="65" t="s">
        <v>138</v>
      </c>
      <c r="AC61" s="67" t="s">
        <v>135</v>
      </c>
    </row>
    <row r="62" spans="2:29">
      <c r="B62" s="46" t="s">
        <v>496</v>
      </c>
      <c r="C62" s="35"/>
      <c r="D62" s="996"/>
      <c r="E62" s="960"/>
      <c r="F62" s="960"/>
      <c r="G62" s="960"/>
      <c r="H62" s="960"/>
      <c r="I62" s="959">
        <f>(I63-AVERAGE($E63:$H63))</f>
        <v>2.5817499999999995</v>
      </c>
      <c r="J62" s="959">
        <f t="shared" ref="J62:N62" si="47">(J63-AVERAGE($E63:$H63))</f>
        <v>37.358750000000001</v>
      </c>
      <c r="K62" s="959">
        <f t="shared" si="47"/>
        <v>38.026749999999993</v>
      </c>
      <c r="L62" s="959">
        <f t="shared" si="47"/>
        <v>38.350750000000005</v>
      </c>
      <c r="M62" s="959">
        <f t="shared" si="47"/>
        <v>54.966750000000005</v>
      </c>
      <c r="N62" s="959">
        <f t="shared" si="47"/>
        <v>69.648749999999993</v>
      </c>
      <c r="O62" s="962">
        <v>80</v>
      </c>
      <c r="P62" s="846">
        <v>50</v>
      </c>
      <c r="Q62" s="846">
        <v>25</v>
      </c>
      <c r="R62" s="963">
        <v>20</v>
      </c>
      <c r="S62" s="963">
        <v>5</v>
      </c>
      <c r="T62" s="963">
        <v>0</v>
      </c>
      <c r="U62" s="846"/>
      <c r="V62" s="846"/>
      <c r="W62" s="846"/>
      <c r="X62" s="846"/>
      <c r="Y62" s="846"/>
      <c r="Z62" s="894"/>
      <c r="AA62" s="894"/>
      <c r="AB62" s="894"/>
      <c r="AC62" s="895"/>
    </row>
    <row r="63" spans="2:29">
      <c r="B63" s="46" t="s">
        <v>599</v>
      </c>
      <c r="C63" s="35" t="s">
        <v>600</v>
      </c>
      <c r="D63" s="198">
        <f>'Haver Pivoted'!GO66</f>
        <v>57.116</v>
      </c>
      <c r="E63" s="48">
        <f>'Haver Pivoted'!GP66</f>
        <v>55.898000000000003</v>
      </c>
      <c r="F63" s="48">
        <f>'Haver Pivoted'!GQ66</f>
        <v>54.478000000000002</v>
      </c>
      <c r="G63" s="48">
        <f>'Haver Pivoted'!GR66</f>
        <v>54.216000000000001</v>
      </c>
      <c r="H63" s="48">
        <f>'Haver Pivoted'!GS66</f>
        <v>54.152999999999999</v>
      </c>
      <c r="I63" s="48">
        <f>'Haver Pivoted'!GT66</f>
        <v>57.268000000000001</v>
      </c>
      <c r="J63" s="48">
        <f>'Haver Pivoted'!GU66</f>
        <v>92.045000000000002</v>
      </c>
      <c r="K63" s="48">
        <f>'Haver Pivoted'!GV66</f>
        <v>92.712999999999994</v>
      </c>
      <c r="L63" s="48">
        <f>'Haver Pivoted'!GW66</f>
        <v>93.037000000000006</v>
      </c>
      <c r="M63" s="48">
        <f>'Haver Pivoted'!GX66</f>
        <v>109.65300000000001</v>
      </c>
      <c r="N63" s="48">
        <f>'Haver Pivoted'!GY66</f>
        <v>124.33499999999999</v>
      </c>
      <c r="O63" s="842"/>
      <c r="P63" s="843"/>
      <c r="Q63" s="843"/>
      <c r="R63" s="843"/>
      <c r="S63" s="843"/>
      <c r="T63" s="843"/>
      <c r="U63" s="843"/>
      <c r="V63" s="843"/>
      <c r="W63" s="843"/>
      <c r="X63" s="843"/>
      <c r="Y63" s="843"/>
      <c r="Z63" s="892"/>
      <c r="AA63" s="892"/>
      <c r="AB63" s="892"/>
      <c r="AC63" s="893"/>
    </row>
    <row r="64" spans="2:29">
      <c r="B64" s="228" t="s">
        <v>501</v>
      </c>
      <c r="C64" s="47"/>
      <c r="D64" s="199"/>
      <c r="E64" s="196"/>
      <c r="F64" s="196"/>
      <c r="G64" s="196"/>
      <c r="H64" s="196"/>
      <c r="I64" s="196"/>
      <c r="J64" s="503">
        <f>J63-$H63</f>
        <v>37.892000000000003</v>
      </c>
      <c r="K64" s="503">
        <f>K63-$H63</f>
        <v>38.559999999999995</v>
      </c>
      <c r="L64" s="503">
        <f>L63-$H63</f>
        <v>38.884000000000007</v>
      </c>
      <c r="M64" s="503">
        <f>M63-$H63</f>
        <v>55.500000000000007</v>
      </c>
      <c r="N64" s="503">
        <f>N63-$H63</f>
        <v>70.181999999999988</v>
      </c>
      <c r="O64" s="64"/>
      <c r="P64" s="65"/>
      <c r="Q64" s="65"/>
      <c r="R64" s="65"/>
      <c r="S64" s="65"/>
      <c r="T64" s="65"/>
      <c r="U64" s="65"/>
      <c r="V64" s="65"/>
      <c r="W64" s="65"/>
      <c r="X64" s="65"/>
      <c r="Y64" s="65"/>
      <c r="Z64" s="65"/>
      <c r="AA64" s="65"/>
      <c r="AB64" s="65"/>
      <c r="AC64" s="66"/>
    </row>
    <row r="65" spans="2:25" ht="14" customHeight="1">
      <c r="B65" s="888"/>
      <c r="C65" s="888"/>
      <c r="D65" s="995"/>
      <c r="E65" s="995"/>
      <c r="F65" s="995"/>
      <c r="G65" s="995"/>
      <c r="H65" s="995"/>
      <c r="I65" s="995"/>
      <c r="J65" s="995"/>
      <c r="K65" s="995"/>
      <c r="L65" s="995"/>
      <c r="M65" s="995"/>
      <c r="N65" s="995"/>
      <c r="O65" s="995"/>
      <c r="P65" s="995"/>
      <c r="Q65" s="995"/>
      <c r="R65" s="995"/>
      <c r="S65" s="995"/>
      <c r="T65" s="995"/>
      <c r="U65" s="995"/>
      <c r="V65" s="995"/>
      <c r="W65" s="995"/>
      <c r="X65" s="995"/>
      <c r="Y65" s="995"/>
    </row>
    <row r="66" spans="2:25" ht="14" customHeight="1">
      <c r="B66" s="517"/>
      <c r="C66" s="517"/>
      <c r="D66" s="517"/>
      <c r="E66" s="517"/>
      <c r="F66" s="517"/>
      <c r="G66" s="517"/>
      <c r="H66" s="517"/>
      <c r="I66" s="517"/>
      <c r="J66" s="517"/>
      <c r="K66" s="517"/>
      <c r="L66" s="517"/>
      <c r="M66" s="517"/>
      <c r="N66" s="517"/>
      <c r="O66" s="517"/>
      <c r="P66" s="517"/>
      <c r="Q66" s="517"/>
      <c r="R66" s="517"/>
      <c r="S66" s="517"/>
      <c r="T66" s="517"/>
      <c r="U66" s="517"/>
      <c r="V66" s="517"/>
      <c r="W66" s="517"/>
      <c r="X66" s="517"/>
      <c r="Y66" s="517"/>
    </row>
    <row r="67" spans="2:25" ht="14" customHeight="1">
      <c r="B67" s="517"/>
      <c r="C67" s="517"/>
      <c r="D67" s="517"/>
      <c r="E67" s="517"/>
      <c r="F67" s="517"/>
      <c r="G67" s="517"/>
      <c r="H67" s="517"/>
      <c r="I67" s="517"/>
      <c r="J67" s="517"/>
      <c r="K67" s="517"/>
      <c r="L67" s="517"/>
      <c r="M67" s="517"/>
      <c r="N67" s="517"/>
      <c r="O67" s="517"/>
      <c r="P67" s="517"/>
      <c r="Q67" s="517"/>
      <c r="R67" s="517"/>
      <c r="S67" s="517"/>
      <c r="T67" s="517"/>
      <c r="U67" s="517"/>
      <c r="V67" s="517"/>
      <c r="W67" s="517"/>
      <c r="X67" s="517"/>
      <c r="Y67" s="517"/>
    </row>
    <row r="68" spans="2:25">
      <c r="B68" s="120"/>
      <c r="C68" s="37"/>
      <c r="D68" s="609"/>
      <c r="E68" s="609"/>
      <c r="F68" s="609"/>
      <c r="G68" s="609"/>
      <c r="H68" s="609"/>
      <c r="I68" s="609"/>
      <c r="J68" s="609"/>
      <c r="K68" s="609"/>
      <c r="L68" s="609"/>
      <c r="M68" s="609"/>
      <c r="N68" s="609"/>
      <c r="O68" s="609"/>
      <c r="P68" s="607"/>
      <c r="Q68" s="37"/>
    </row>
    <row r="69" spans="2:25" ht="15">
      <c r="B69" s="1226"/>
      <c r="C69" s="37"/>
      <c r="D69" s="1120"/>
      <c r="E69" s="560"/>
      <c r="F69" s="560"/>
      <c r="G69" s="560"/>
      <c r="H69" s="560"/>
      <c r="I69" s="560"/>
      <c r="J69" s="560"/>
      <c r="K69" s="560"/>
      <c r="L69" s="560"/>
      <c r="M69" s="560"/>
      <c r="N69" s="560"/>
      <c r="O69" s="607"/>
      <c r="P69" s="607"/>
      <c r="Q69" s="37"/>
    </row>
    <row r="70" spans="2:25" ht="15">
      <c r="B70" s="299"/>
      <c r="C70" s="37"/>
      <c r="D70" s="1120"/>
      <c r="E70" s="560"/>
      <c r="F70" s="560"/>
      <c r="G70" s="560"/>
      <c r="H70" s="560"/>
      <c r="I70" s="560"/>
      <c r="J70" s="560"/>
      <c r="K70" s="560"/>
      <c r="L70" s="560"/>
      <c r="M70" s="560"/>
      <c r="N70" s="560"/>
      <c r="O70" s="37"/>
      <c r="P70" s="37"/>
      <c r="Q70" s="37"/>
    </row>
    <row r="71" spans="2:25" ht="15">
      <c r="B71" s="299"/>
      <c r="C71" s="37"/>
      <c r="D71" s="1120"/>
      <c r="E71" s="560"/>
      <c r="F71" s="560"/>
      <c r="G71" s="560"/>
      <c r="H71" s="560"/>
      <c r="I71" s="560"/>
      <c r="J71" s="560"/>
      <c r="K71" s="560"/>
      <c r="L71" s="560"/>
      <c r="M71" s="560"/>
      <c r="N71" s="560"/>
      <c r="O71" s="37"/>
      <c r="P71" s="37"/>
      <c r="Q71" s="37"/>
    </row>
    <row r="72" spans="2:25" ht="14" customHeight="1">
      <c r="B72" s="299"/>
      <c r="C72" s="608"/>
      <c r="D72" s="1120"/>
      <c r="E72" s="560"/>
      <c r="F72" s="560"/>
      <c r="G72" s="560"/>
      <c r="H72" s="560"/>
      <c r="I72" s="560"/>
      <c r="J72" s="560"/>
      <c r="K72" s="560"/>
      <c r="L72" s="560"/>
      <c r="M72" s="560"/>
      <c r="N72" s="560"/>
      <c r="O72" s="608"/>
      <c r="P72" s="608"/>
      <c r="Q72" s="608"/>
      <c r="R72" s="26"/>
      <c r="S72" s="26"/>
      <c r="T72" s="26"/>
      <c r="U72" s="26"/>
      <c r="V72" s="26"/>
      <c r="W72" s="26"/>
      <c r="X72" s="26"/>
    </row>
    <row r="73" spans="2:25" ht="14" customHeight="1">
      <c r="B73" s="299"/>
      <c r="C73" s="608"/>
      <c r="D73" s="1120"/>
      <c r="E73" s="560"/>
      <c r="F73" s="560"/>
      <c r="G73" s="560"/>
      <c r="H73" s="560"/>
      <c r="I73" s="560"/>
      <c r="J73" s="560"/>
      <c r="K73" s="560"/>
      <c r="L73" s="560"/>
      <c r="M73" s="560"/>
      <c r="N73" s="560"/>
      <c r="O73" s="608"/>
      <c r="P73" s="608"/>
      <c r="Q73" s="608"/>
      <c r="R73" s="26"/>
      <c r="S73" s="26"/>
      <c r="T73" s="26"/>
      <c r="U73" s="26"/>
      <c r="V73" s="26"/>
      <c r="W73" s="26"/>
      <c r="X73" s="26"/>
    </row>
    <row r="74" spans="2:25" ht="14" customHeight="1">
      <c r="B74" s="299"/>
      <c r="C74" s="608"/>
      <c r="D74" s="1120"/>
      <c r="E74" s="560"/>
      <c r="F74" s="560"/>
      <c r="G74" s="560"/>
      <c r="H74" s="560"/>
      <c r="I74" s="560"/>
      <c r="J74" s="560"/>
      <c r="K74" s="560"/>
      <c r="L74" s="560"/>
      <c r="M74" s="560"/>
      <c r="N74" s="560"/>
      <c r="O74" s="608"/>
      <c r="P74" s="608"/>
      <c r="Q74" s="608"/>
      <c r="R74" s="26"/>
      <c r="S74" s="26"/>
      <c r="T74" s="26"/>
      <c r="U74" s="26"/>
      <c r="V74" s="26"/>
      <c r="W74" s="26"/>
      <c r="X74" s="26"/>
    </row>
    <row r="75" spans="2:25" ht="15">
      <c r="B75" s="299"/>
      <c r="C75" s="37"/>
      <c r="D75" s="1120"/>
      <c r="E75" s="560"/>
      <c r="F75" s="560"/>
      <c r="G75" s="560"/>
      <c r="H75" s="560"/>
      <c r="I75" s="560"/>
      <c r="J75" s="560"/>
      <c r="K75" s="560"/>
      <c r="L75" s="560"/>
      <c r="M75" s="560"/>
      <c r="N75" s="560"/>
      <c r="O75" s="37"/>
      <c r="P75" s="37"/>
      <c r="Q75" s="37"/>
    </row>
    <row r="76" spans="2:25" ht="15">
      <c r="B76" s="299"/>
      <c r="D76" s="1120"/>
      <c r="E76" s="560"/>
      <c r="F76" s="560"/>
      <c r="G76" s="560"/>
      <c r="H76" s="560"/>
      <c r="I76" s="560"/>
      <c r="J76" s="560"/>
      <c r="K76" s="560"/>
      <c r="L76" s="560"/>
      <c r="M76" s="560"/>
      <c r="N76" s="560"/>
    </row>
    <row r="77" spans="2:25" ht="15">
      <c r="B77" s="299"/>
      <c r="D77" s="1120"/>
      <c r="E77" s="560"/>
      <c r="F77" s="560"/>
      <c r="G77" s="560"/>
      <c r="H77" s="560"/>
      <c r="I77" s="560"/>
      <c r="J77" s="560"/>
      <c r="K77" s="560"/>
      <c r="L77" s="560"/>
      <c r="M77" s="560"/>
      <c r="N77" s="560"/>
    </row>
    <row r="78" spans="2:25" ht="15">
      <c r="B78" s="299"/>
      <c r="D78" s="1120"/>
      <c r="E78" s="560"/>
      <c r="F78" s="560"/>
      <c r="G78" s="560"/>
      <c r="H78" s="560"/>
      <c r="I78" s="560"/>
      <c r="J78" s="560"/>
      <c r="K78" s="560"/>
      <c r="L78" s="560"/>
      <c r="M78" s="560"/>
      <c r="N78" s="560"/>
    </row>
    <row r="79" spans="2:25" ht="15">
      <c r="B79" s="299"/>
      <c r="D79" s="1120"/>
      <c r="E79" s="560"/>
      <c r="F79" s="560"/>
      <c r="G79" s="560"/>
      <c r="H79" s="560"/>
      <c r="I79" s="560"/>
      <c r="J79" s="560"/>
      <c r="K79" s="560"/>
      <c r="L79" s="560"/>
      <c r="M79" s="560"/>
      <c r="N79" s="560"/>
    </row>
    <row r="80" spans="2:25" ht="15">
      <c r="B80" s="299"/>
      <c r="D80" s="1120"/>
      <c r="E80" s="560"/>
      <c r="F80" s="560"/>
      <c r="G80" s="560"/>
      <c r="H80" s="560"/>
      <c r="I80" s="560"/>
      <c r="J80" s="560"/>
      <c r="K80" s="560"/>
      <c r="L80" s="560"/>
      <c r="M80" s="560"/>
      <c r="N80" s="560"/>
    </row>
    <row r="81" spans="2:14" ht="15">
      <c r="B81" s="299"/>
      <c r="D81" s="1120"/>
      <c r="E81" s="560"/>
      <c r="F81" s="560"/>
      <c r="G81" s="560"/>
      <c r="H81" s="560"/>
      <c r="I81" s="560"/>
      <c r="J81" s="560"/>
      <c r="K81" s="560"/>
      <c r="L81" s="560"/>
      <c r="M81" s="560"/>
      <c r="N81" s="560"/>
    </row>
    <row r="82" spans="2:14" ht="15">
      <c r="B82" s="299"/>
      <c r="D82" s="1120"/>
      <c r="E82" s="560"/>
      <c r="F82" s="560"/>
      <c r="G82" s="560"/>
      <c r="H82" s="560"/>
      <c r="I82" s="560"/>
      <c r="J82" s="560"/>
      <c r="K82" s="560"/>
      <c r="L82" s="560"/>
      <c r="M82" s="560"/>
      <c r="N82" s="560"/>
    </row>
    <row r="83" spans="2:14" ht="15">
      <c r="B83" s="299"/>
      <c r="D83" s="1120"/>
      <c r="E83" s="560"/>
      <c r="F83" s="560"/>
      <c r="G83" s="560"/>
      <c r="H83" s="560"/>
      <c r="I83" s="560"/>
      <c r="J83" s="560"/>
      <c r="K83" s="560"/>
      <c r="L83" s="560"/>
      <c r="M83" s="560"/>
      <c r="N83" s="560"/>
    </row>
    <row r="84" spans="2:14" ht="15">
      <c r="B84" s="299"/>
      <c r="D84" s="1120"/>
      <c r="E84" s="560"/>
      <c r="F84" s="560"/>
      <c r="G84" s="560"/>
      <c r="H84" s="560"/>
      <c r="I84" s="560"/>
      <c r="J84" s="560"/>
      <c r="K84" s="560"/>
      <c r="L84" s="560"/>
      <c r="M84" s="560"/>
      <c r="N84" s="560"/>
    </row>
    <row r="85" spans="2:14">
      <c r="B85" s="120"/>
    </row>
    <row r="86" spans="2:14">
      <c r="B86" s="120"/>
    </row>
    <row r="87" spans="2:14">
      <c r="B87" s="120"/>
      <c r="J87" s="796"/>
      <c r="K87" s="796"/>
      <c r="L87" s="796"/>
      <c r="M87" s="796"/>
      <c r="N87" s="796"/>
    </row>
    <row r="91" spans="2:14">
      <c r="C91" s="37"/>
      <c r="D91" s="609"/>
      <c r="E91" s="609"/>
      <c r="F91" s="609"/>
      <c r="G91" s="609"/>
      <c r="H91" s="609"/>
      <c r="I91" s="609"/>
      <c r="J91" s="609"/>
      <c r="K91" s="609"/>
      <c r="L91" s="609"/>
      <c r="M91" s="609"/>
      <c r="N91" s="609"/>
    </row>
    <row r="92" spans="2:14" ht="15">
      <c r="B92" s="1119"/>
      <c r="C92" s="37"/>
      <c r="D92" s="1120"/>
      <c r="E92" s="560"/>
      <c r="F92" s="560"/>
      <c r="G92" s="560"/>
      <c r="H92" s="560"/>
      <c r="I92" s="560"/>
      <c r="J92" s="560"/>
      <c r="K92" s="560"/>
      <c r="L92" s="560"/>
      <c r="M92" s="560"/>
      <c r="N92" s="560"/>
    </row>
    <row r="93" spans="2:14" ht="15">
      <c r="B93" s="560"/>
      <c r="C93" s="37"/>
      <c r="D93" s="1120"/>
      <c r="E93" s="560"/>
      <c r="F93" s="560"/>
      <c r="G93" s="560"/>
      <c r="H93" s="560"/>
      <c r="I93" s="560"/>
      <c r="J93" s="560"/>
      <c r="K93" s="560"/>
      <c r="L93" s="560"/>
      <c r="M93" s="560"/>
      <c r="N93" s="560"/>
    </row>
    <row r="94" spans="2:14" ht="15">
      <c r="B94" s="560"/>
      <c r="C94" s="37"/>
      <c r="D94" s="1120"/>
      <c r="E94" s="560"/>
      <c r="F94" s="560"/>
      <c r="G94" s="560"/>
      <c r="H94" s="560"/>
      <c r="I94" s="560"/>
      <c r="J94" s="560"/>
      <c r="K94" s="560"/>
      <c r="L94" s="560"/>
      <c r="M94" s="560"/>
      <c r="N94" s="560"/>
    </row>
    <row r="95" spans="2:14" ht="15">
      <c r="B95" s="560"/>
      <c r="C95" s="608"/>
      <c r="D95" s="1120"/>
      <c r="E95" s="560"/>
      <c r="F95" s="560"/>
      <c r="G95" s="560"/>
      <c r="H95" s="560"/>
      <c r="I95" s="560"/>
      <c r="J95" s="560"/>
      <c r="K95" s="560"/>
      <c r="L95" s="560"/>
      <c r="M95" s="560"/>
      <c r="N95" s="560"/>
    </row>
    <row r="96" spans="2:14" ht="15">
      <c r="B96" s="560"/>
      <c r="C96" s="608"/>
      <c r="D96" s="1120"/>
      <c r="E96" s="560"/>
      <c r="F96" s="560"/>
      <c r="G96" s="560"/>
      <c r="H96" s="560"/>
      <c r="I96" s="560"/>
      <c r="J96" s="560"/>
      <c r="K96" s="560"/>
      <c r="L96" s="560"/>
      <c r="M96" s="560"/>
      <c r="N96" s="560"/>
    </row>
    <row r="97" spans="2:14" ht="15">
      <c r="B97" s="560"/>
      <c r="C97" s="608"/>
      <c r="D97" s="1120"/>
      <c r="E97" s="560"/>
      <c r="F97" s="560"/>
      <c r="G97" s="560"/>
      <c r="H97" s="560"/>
      <c r="I97" s="560"/>
      <c r="J97" s="560"/>
      <c r="K97" s="560"/>
      <c r="L97" s="560"/>
      <c r="M97" s="560"/>
      <c r="N97" s="560"/>
    </row>
    <row r="98" spans="2:14" ht="15">
      <c r="B98" s="560"/>
      <c r="C98" s="37"/>
      <c r="D98" s="1120"/>
      <c r="E98" s="560"/>
      <c r="F98" s="560"/>
      <c r="G98" s="560"/>
      <c r="H98" s="560"/>
      <c r="I98" s="560"/>
      <c r="J98" s="560"/>
      <c r="K98" s="560"/>
      <c r="L98" s="560"/>
      <c r="M98" s="560"/>
      <c r="N98" s="560"/>
    </row>
    <row r="99" spans="2:14" ht="15">
      <c r="B99" s="560"/>
      <c r="D99" s="1120"/>
      <c r="E99" s="560"/>
      <c r="F99" s="560"/>
      <c r="G99" s="560"/>
      <c r="H99" s="560"/>
      <c r="I99" s="560"/>
      <c r="J99" s="560"/>
      <c r="K99" s="560"/>
      <c r="L99" s="560"/>
      <c r="M99" s="560"/>
      <c r="N99" s="560"/>
    </row>
    <row r="100" spans="2:14" ht="15">
      <c r="B100" s="560"/>
      <c r="D100" s="1120"/>
      <c r="E100" s="560"/>
      <c r="F100" s="560"/>
      <c r="G100" s="560"/>
      <c r="H100" s="560"/>
      <c r="I100" s="560"/>
      <c r="J100" s="560"/>
      <c r="K100" s="560"/>
      <c r="L100" s="560"/>
      <c r="M100" s="560"/>
      <c r="N100" s="560"/>
    </row>
    <row r="101" spans="2:14" ht="15">
      <c r="B101" s="560"/>
      <c r="D101" s="1120"/>
      <c r="E101" s="560"/>
      <c r="F101" s="560"/>
      <c r="G101" s="560"/>
      <c r="H101" s="560"/>
      <c r="I101" s="560"/>
      <c r="J101" s="560"/>
      <c r="K101" s="560"/>
      <c r="L101" s="560"/>
      <c r="M101" s="560"/>
      <c r="N101" s="560"/>
    </row>
    <row r="102" spans="2:14" ht="15">
      <c r="B102" s="560"/>
      <c r="D102" s="1120"/>
      <c r="E102" s="560"/>
      <c r="F102" s="560"/>
      <c r="G102" s="560"/>
      <c r="H102" s="560"/>
      <c r="I102" s="560"/>
      <c r="J102" s="560"/>
      <c r="K102" s="560"/>
      <c r="L102" s="560"/>
      <c r="M102" s="560"/>
      <c r="N102" s="560"/>
    </row>
    <row r="103" spans="2:14" ht="15">
      <c r="B103" s="560"/>
      <c r="D103" s="1120"/>
      <c r="E103" s="560"/>
      <c r="F103" s="560"/>
      <c r="G103" s="560"/>
      <c r="H103" s="560"/>
      <c r="I103" s="560"/>
      <c r="J103" s="560"/>
      <c r="K103" s="560"/>
      <c r="L103" s="560"/>
      <c r="M103" s="560"/>
      <c r="N103" s="560"/>
    </row>
    <row r="104" spans="2:14" ht="15">
      <c r="B104" s="560"/>
      <c r="D104" s="1120"/>
      <c r="E104" s="560"/>
      <c r="F104" s="560"/>
      <c r="G104" s="560"/>
      <c r="H104" s="560"/>
      <c r="I104" s="560"/>
      <c r="J104" s="560"/>
      <c r="K104" s="560"/>
      <c r="L104" s="560"/>
      <c r="M104" s="560"/>
      <c r="N104" s="560"/>
    </row>
    <row r="105" spans="2:14" ht="15">
      <c r="B105" s="560"/>
      <c r="D105" s="1120"/>
      <c r="E105" s="560"/>
      <c r="F105" s="560"/>
      <c r="G105" s="560"/>
      <c r="H105" s="560"/>
      <c r="I105" s="560"/>
      <c r="J105" s="560"/>
      <c r="K105" s="560"/>
      <c r="L105" s="560"/>
      <c r="M105" s="560"/>
      <c r="N105" s="560"/>
    </row>
    <row r="106" spans="2:14" ht="15">
      <c r="B106" s="560"/>
      <c r="D106" s="1120"/>
      <c r="E106" s="560"/>
      <c r="F106" s="560"/>
      <c r="G106" s="560"/>
      <c r="H106" s="560"/>
      <c r="I106" s="560"/>
      <c r="J106" s="560"/>
      <c r="K106" s="560"/>
      <c r="L106" s="560"/>
      <c r="M106" s="560"/>
      <c r="N106" s="560"/>
    </row>
    <row r="107" spans="2:14" ht="15">
      <c r="B107" s="560"/>
      <c r="D107" s="1120"/>
      <c r="E107" s="560"/>
      <c r="F107" s="560"/>
      <c r="G107" s="560"/>
      <c r="H107" s="560"/>
      <c r="I107" s="560"/>
      <c r="J107" s="560"/>
      <c r="K107" s="560"/>
      <c r="L107" s="560"/>
      <c r="M107" s="560"/>
      <c r="N107" s="560"/>
    </row>
    <row r="108" spans="2:14" ht="15">
      <c r="E108" s="560"/>
      <c r="F108" s="560"/>
      <c r="G108" s="560"/>
      <c r="H108" s="560"/>
      <c r="I108" s="560"/>
      <c r="J108" s="560"/>
      <c r="K108" s="560"/>
      <c r="L108" s="560"/>
      <c r="M108" s="560"/>
      <c r="N108" s="560"/>
    </row>
    <row r="109" spans="2:14" ht="15">
      <c r="E109" s="560"/>
      <c r="F109" s="560"/>
      <c r="G109" s="560"/>
      <c r="H109" s="560"/>
      <c r="I109" s="560"/>
      <c r="J109" s="560"/>
      <c r="K109" s="560"/>
      <c r="L109" s="560"/>
      <c r="M109" s="560"/>
      <c r="N109" s="560"/>
    </row>
    <row r="110" spans="2:14" ht="15">
      <c r="E110" s="560"/>
      <c r="F110" s="560"/>
      <c r="G110" s="560"/>
      <c r="H110" s="560"/>
      <c r="I110" s="560"/>
      <c r="J110" s="560"/>
      <c r="K110" s="560"/>
      <c r="L110" s="560"/>
      <c r="M110" s="560"/>
      <c r="N110" s="560"/>
    </row>
    <row r="111" spans="2:14" ht="15">
      <c r="E111" s="560"/>
    </row>
  </sheetData>
  <mergeCells count="37">
    <mergeCell ref="O59:AC59"/>
    <mergeCell ref="B32:C32"/>
    <mergeCell ref="B11:C11"/>
    <mergeCell ref="B27:C27"/>
    <mergeCell ref="E9:H9"/>
    <mergeCell ref="B8:C10"/>
    <mergeCell ref="I9:L9"/>
    <mergeCell ref="O8:AC8"/>
    <mergeCell ref="Q9:T9"/>
    <mergeCell ref="U9:X9"/>
    <mergeCell ref="Y9:AB9"/>
    <mergeCell ref="D8:N8"/>
    <mergeCell ref="M9:N9"/>
    <mergeCell ref="O9:P9"/>
    <mergeCell ref="O46:AC46"/>
    <mergeCell ref="Q47:T47"/>
    <mergeCell ref="U47:X47"/>
    <mergeCell ref="Y47:AB47"/>
    <mergeCell ref="D46:N46"/>
    <mergeCell ref="M47:N47"/>
    <mergeCell ref="O47:P47"/>
    <mergeCell ref="Q60:T60"/>
    <mergeCell ref="U60:X60"/>
    <mergeCell ref="Y60:AB60"/>
    <mergeCell ref="B1:AC1"/>
    <mergeCell ref="B2:AC6"/>
    <mergeCell ref="B58:AC58"/>
    <mergeCell ref="B55:AC55"/>
    <mergeCell ref="E60:H60"/>
    <mergeCell ref="I60:L60"/>
    <mergeCell ref="B46:C48"/>
    <mergeCell ref="E47:H47"/>
    <mergeCell ref="I47:L47"/>
    <mergeCell ref="B59:C61"/>
    <mergeCell ref="M60:N60"/>
    <mergeCell ref="O60:P60"/>
    <mergeCell ref="D59:N59"/>
  </mergeCells>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464AB-1C0E-489D-A26A-D6014012676E}">
  <dimension ref="D1:BD101"/>
  <sheetViews>
    <sheetView topLeftCell="H1" zoomScale="79" zoomScaleNormal="88" workbookViewId="0">
      <selection activeCell="N88" sqref="N88"/>
    </sheetView>
  </sheetViews>
  <sheetFormatPr baseColWidth="10" defaultColWidth="10.83203125" defaultRowHeight="14"/>
  <cols>
    <col min="1" max="2" width="0" style="302" hidden="1" customWidth="1"/>
    <col min="3" max="3" width="10.83203125" style="302"/>
    <col min="4" max="4" width="45.1640625" style="302" customWidth="1"/>
    <col min="5" max="5" width="11.1640625" style="302" bestFit="1" customWidth="1"/>
    <col min="6" max="12" width="10.83203125" style="302"/>
    <col min="13" max="13" width="12.5" style="302" customWidth="1"/>
    <col min="14" max="14" width="13.5" style="302" customWidth="1"/>
    <col min="15" max="15" width="13.33203125" style="302" customWidth="1"/>
    <col min="16" max="16" width="8.33203125" style="302" customWidth="1"/>
    <col min="17" max="16384" width="10.83203125" style="302"/>
  </cols>
  <sheetData>
    <row r="1" spans="4:56">
      <c r="D1" s="1372" t="s">
        <v>582</v>
      </c>
      <c r="E1" s="1372"/>
      <c r="F1" s="1372"/>
      <c r="G1" s="1372"/>
      <c r="H1" s="1372"/>
      <c r="I1" s="1372"/>
      <c r="J1" s="1372"/>
      <c r="K1" s="1372"/>
      <c r="L1" s="1372"/>
      <c r="M1" s="1372"/>
      <c r="N1" s="1372"/>
      <c r="O1" s="1372"/>
      <c r="P1" s="1372"/>
      <c r="Q1" s="1372"/>
      <c r="R1" s="1372"/>
      <c r="S1" s="1372"/>
      <c r="T1" s="1372"/>
      <c r="U1" s="1372"/>
      <c r="V1" s="1372"/>
      <c r="W1" s="1372"/>
      <c r="X1" s="1372"/>
      <c r="Y1" s="1372"/>
      <c r="Z1" s="1372"/>
      <c r="AA1" s="1372"/>
      <c r="AB1" s="1372"/>
      <c r="AC1" s="1372"/>
    </row>
    <row r="2" spans="4:56" ht="14" customHeight="1">
      <c r="D2" s="1370" t="s">
        <v>1237</v>
      </c>
      <c r="E2" s="1370"/>
      <c r="F2" s="1370"/>
      <c r="G2" s="1370"/>
      <c r="H2" s="1370"/>
      <c r="I2" s="1370"/>
      <c r="J2" s="1370"/>
      <c r="K2" s="1370"/>
      <c r="L2" s="1370"/>
      <c r="M2" s="1370"/>
      <c r="N2" s="1370"/>
      <c r="O2" s="1370"/>
      <c r="P2" s="1370"/>
      <c r="Q2" s="1370"/>
      <c r="R2" s="1370"/>
      <c r="S2" s="1370"/>
      <c r="T2" s="1370"/>
      <c r="U2" s="1370"/>
      <c r="V2" s="1370"/>
      <c r="W2" s="1370"/>
      <c r="X2" s="1370"/>
      <c r="Y2" s="1370"/>
      <c r="Z2" s="1370"/>
      <c r="AA2" s="1370"/>
      <c r="AB2" s="1370"/>
      <c r="AC2" s="1370"/>
    </row>
    <row r="3" spans="4:56" ht="28.5" customHeight="1">
      <c r="D3" s="1370"/>
      <c r="E3" s="1370"/>
      <c r="F3" s="1370"/>
      <c r="G3" s="1370"/>
      <c r="H3" s="1370"/>
      <c r="I3" s="1370"/>
      <c r="J3" s="1370"/>
      <c r="K3" s="1370"/>
      <c r="L3" s="1370"/>
      <c r="M3" s="1370"/>
      <c r="N3" s="1370"/>
      <c r="O3" s="1370"/>
      <c r="P3" s="1370"/>
      <c r="Q3" s="1370"/>
      <c r="R3" s="1370"/>
      <c r="S3" s="1370"/>
      <c r="T3" s="1370"/>
      <c r="U3" s="1370"/>
      <c r="V3" s="1370"/>
      <c r="W3" s="1370"/>
      <c r="X3" s="1370"/>
      <c r="Y3" s="1370"/>
      <c r="Z3" s="1370"/>
      <c r="AA3" s="1370"/>
      <c r="AB3" s="1370"/>
      <c r="AC3" s="1370"/>
    </row>
    <row r="4" spans="4:56">
      <c r="D4" s="1319" t="s">
        <v>399</v>
      </c>
    </row>
    <row r="5" spans="4:56">
      <c r="D5" s="1390" t="s">
        <v>292</v>
      </c>
      <c r="E5" s="1391"/>
      <c r="F5" s="1483" t="s">
        <v>261</v>
      </c>
      <c r="G5" s="1484"/>
      <c r="H5" s="1484"/>
      <c r="I5" s="1484"/>
      <c r="J5" s="1484"/>
      <c r="K5" s="1484"/>
      <c r="L5" s="1484"/>
      <c r="M5" s="1484"/>
      <c r="N5" s="1485"/>
      <c r="O5" s="1388" t="s">
        <v>143</v>
      </c>
      <c r="P5" s="1437"/>
      <c r="Q5" s="1437"/>
      <c r="R5" s="1437"/>
      <c r="S5" s="1437"/>
      <c r="T5" s="1437"/>
      <c r="U5" s="1437"/>
      <c r="V5" s="1437"/>
      <c r="W5" s="1437"/>
      <c r="X5" s="1437"/>
      <c r="Y5" s="1399"/>
      <c r="Z5" s="1399"/>
      <c r="AA5" s="1399"/>
      <c r="AB5" s="1399"/>
      <c r="AC5" s="1400"/>
      <c r="AD5" s="219"/>
      <c r="AE5" s="219"/>
      <c r="AF5" s="219"/>
      <c r="AG5" s="219"/>
      <c r="AH5" s="219"/>
      <c r="AI5" s="219"/>
      <c r="AJ5" s="219"/>
      <c r="AK5" s="219"/>
      <c r="AL5" s="219"/>
      <c r="AM5" s="219"/>
      <c r="AN5" s="219"/>
      <c r="AO5" s="219"/>
      <c r="AP5" s="219"/>
      <c r="AQ5" s="219"/>
      <c r="AR5" s="219"/>
      <c r="AS5" s="219"/>
      <c r="AT5" s="219"/>
      <c r="AU5" s="219"/>
      <c r="AV5" s="219"/>
      <c r="AW5" s="219"/>
      <c r="AX5" s="219"/>
      <c r="AY5" s="219"/>
      <c r="AZ5" s="219"/>
      <c r="BA5" s="219"/>
      <c r="BB5" s="219"/>
      <c r="BC5" s="219"/>
      <c r="BD5" s="219"/>
    </row>
    <row r="6" spans="4:56">
      <c r="D6" s="1392"/>
      <c r="E6" s="1431"/>
      <c r="F6" s="1373">
        <v>2019</v>
      </c>
      <c r="G6" s="1426"/>
      <c r="H6" s="1383"/>
      <c r="I6" s="1426">
        <v>2020</v>
      </c>
      <c r="J6" s="1426"/>
      <c r="K6" s="1426"/>
      <c r="L6" s="1383"/>
      <c r="M6" s="1373">
        <v>2021</v>
      </c>
      <c r="N6" s="1383"/>
      <c r="O6" s="1438">
        <v>2021</v>
      </c>
      <c r="P6" s="1490"/>
      <c r="Q6" s="1438">
        <v>2022</v>
      </c>
      <c r="R6" s="1442"/>
      <c r="S6" s="1442"/>
      <c r="T6" s="1442"/>
      <c r="U6" s="1438">
        <v>2023</v>
      </c>
      <c r="V6" s="1442"/>
      <c r="W6" s="1442"/>
      <c r="X6" s="1442"/>
      <c r="Y6" s="1396">
        <v>2024</v>
      </c>
      <c r="Z6" s="1401"/>
      <c r="AA6" s="1401"/>
      <c r="AB6" s="1401"/>
      <c r="AC6" s="475">
        <v>2025</v>
      </c>
      <c r="AD6" s="205"/>
      <c r="AE6" s="205"/>
      <c r="AF6" s="205"/>
      <c r="AG6" s="288"/>
      <c r="AH6" s="288"/>
      <c r="AI6" s="288"/>
      <c r="AJ6" s="288"/>
      <c r="AK6" s="288"/>
      <c r="AL6" s="288"/>
      <c r="AM6" s="288"/>
      <c r="AN6" s="288"/>
      <c r="AO6" s="288"/>
      <c r="AP6" s="288"/>
      <c r="AQ6" s="288"/>
      <c r="AR6" s="288"/>
      <c r="AS6" s="288"/>
      <c r="AT6" s="288"/>
      <c r="AU6" s="288"/>
      <c r="AV6" s="288"/>
      <c r="AW6" s="288"/>
      <c r="AX6" s="288"/>
      <c r="AY6" s="288"/>
      <c r="AZ6" s="288"/>
      <c r="BA6" s="288"/>
      <c r="BB6" s="288"/>
      <c r="BC6" s="288"/>
    </row>
    <row r="7" spans="4:56">
      <c r="D7" s="1394"/>
      <c r="E7" s="1432"/>
      <c r="F7" s="192" t="s">
        <v>136</v>
      </c>
      <c r="G7" s="193" t="s">
        <v>137</v>
      </c>
      <c r="H7" s="42" t="s">
        <v>138</v>
      </c>
      <c r="I7" s="41" t="s">
        <v>135</v>
      </c>
      <c r="J7" s="41" t="s">
        <v>136</v>
      </c>
      <c r="K7" s="41" t="s">
        <v>137</v>
      </c>
      <c r="L7" s="42" t="s">
        <v>138</v>
      </c>
      <c r="M7" s="40" t="s">
        <v>135</v>
      </c>
      <c r="N7" s="42" t="s">
        <v>136</v>
      </c>
      <c r="O7" s="64" t="s">
        <v>137</v>
      </c>
      <c r="P7" s="66" t="s">
        <v>138</v>
      </c>
      <c r="Q7" s="64" t="s">
        <v>135</v>
      </c>
      <c r="R7" s="65" t="s">
        <v>136</v>
      </c>
      <c r="S7" s="65" t="s">
        <v>137</v>
      </c>
      <c r="T7" s="65" t="s">
        <v>138</v>
      </c>
      <c r="U7" s="64" t="s">
        <v>135</v>
      </c>
      <c r="V7" s="65" t="s">
        <v>136</v>
      </c>
      <c r="W7" s="65" t="s">
        <v>137</v>
      </c>
      <c r="X7" s="65" t="s">
        <v>138</v>
      </c>
      <c r="Y7" s="64" t="s">
        <v>135</v>
      </c>
      <c r="Z7" s="698" t="s">
        <v>136</v>
      </c>
      <c r="AA7" s="65" t="s">
        <v>137</v>
      </c>
      <c r="AB7" s="65" t="s">
        <v>138</v>
      </c>
      <c r="AC7" s="67" t="s">
        <v>135</v>
      </c>
      <c r="AD7" s="214"/>
      <c r="AE7" s="214"/>
      <c r="AF7" s="214"/>
      <c r="AG7" s="214"/>
      <c r="AH7" s="214"/>
      <c r="AI7" s="214"/>
      <c r="AJ7" s="214"/>
      <c r="AK7" s="214"/>
      <c r="AL7" s="214"/>
      <c r="AM7" s="214"/>
      <c r="AN7" s="214"/>
      <c r="AO7" s="214"/>
      <c r="AP7" s="214"/>
      <c r="AQ7" s="214"/>
      <c r="AR7" s="214"/>
      <c r="AS7" s="214"/>
      <c r="AT7" s="214"/>
      <c r="AU7" s="214"/>
      <c r="AV7" s="214"/>
      <c r="AW7" s="214"/>
      <c r="AX7" s="214"/>
      <c r="AY7" s="214"/>
      <c r="AZ7" s="214"/>
      <c r="BA7" s="214"/>
      <c r="BB7" s="214"/>
      <c r="BC7" s="214"/>
    </row>
    <row r="8" spans="4:56" ht="15">
      <c r="D8" s="386" t="s">
        <v>145</v>
      </c>
      <c r="E8" s="854"/>
      <c r="F8" s="1320"/>
      <c r="G8" s="1321"/>
      <c r="H8" s="1322"/>
      <c r="I8" s="1322"/>
      <c r="J8" s="1322"/>
      <c r="K8" s="1322"/>
      <c r="L8" s="1322"/>
      <c r="M8" s="1322"/>
      <c r="N8" s="1323"/>
      <c r="O8" s="1259"/>
      <c r="P8" s="463"/>
      <c r="Q8" s="464"/>
      <c r="R8" s="464"/>
      <c r="S8" s="463"/>
      <c r="T8" s="464"/>
      <c r="U8" s="464"/>
      <c r="V8" s="464"/>
      <c r="W8" s="463"/>
      <c r="X8" s="464"/>
      <c r="Y8" s="464"/>
      <c r="Z8" s="464"/>
      <c r="AA8" s="464"/>
      <c r="AB8" s="464"/>
      <c r="AC8" s="1260"/>
      <c r="AD8" s="206"/>
      <c r="AE8" s="206"/>
      <c r="AF8" s="206"/>
      <c r="AG8" s="206"/>
      <c r="AH8" s="206"/>
      <c r="AI8" s="206"/>
      <c r="AJ8" s="206"/>
      <c r="AK8" s="206"/>
      <c r="AL8" s="206"/>
      <c r="AM8" s="206"/>
      <c r="AN8" s="206"/>
      <c r="AO8" s="206"/>
      <c r="AP8" s="206"/>
      <c r="AQ8" s="206"/>
      <c r="AR8" s="206"/>
      <c r="AS8" s="206"/>
      <c r="AT8" s="206"/>
      <c r="AU8" s="206"/>
      <c r="AV8" s="206"/>
      <c r="AW8" s="206"/>
      <c r="AX8" s="206"/>
      <c r="AY8" s="206"/>
      <c r="AZ8" s="206"/>
      <c r="BA8" s="206"/>
      <c r="BB8" s="206"/>
      <c r="BC8" s="206"/>
    </row>
    <row r="9" spans="4:56" s="470" customFormat="1" ht="15">
      <c r="D9" s="106" t="s">
        <v>641</v>
      </c>
      <c r="E9" s="985"/>
      <c r="F9" s="1324">
        <f t="shared" ref="F9:X9" si="0">SUM(F10:F12)</f>
        <v>3273.3999999999996</v>
      </c>
      <c r="G9" s="991">
        <f t="shared" si="0"/>
        <v>3290</v>
      </c>
      <c r="H9" s="991">
        <f t="shared" si="0"/>
        <v>3332.9</v>
      </c>
      <c r="I9" s="991">
        <f t="shared" si="0"/>
        <v>3380.8</v>
      </c>
      <c r="J9" s="991">
        <f t="shared" si="0"/>
        <v>3111.4</v>
      </c>
      <c r="K9" s="991">
        <f t="shared" si="0"/>
        <v>3257.3</v>
      </c>
      <c r="L9" s="991">
        <f t="shared" si="0"/>
        <v>3379.5</v>
      </c>
      <c r="M9" s="991">
        <f t="shared" si="0"/>
        <v>3536</v>
      </c>
      <c r="N9" s="1255">
        <f t="shared" si="0"/>
        <v>3646.9</v>
      </c>
      <c r="O9" s="1261">
        <f t="shared" si="0"/>
        <v>3702.7279180746473</v>
      </c>
      <c r="P9" s="472">
        <f t="shared" si="0"/>
        <v>3753.1986685626935</v>
      </c>
      <c r="Q9" s="472">
        <f t="shared" si="0"/>
        <v>3789.474466066139</v>
      </c>
      <c r="R9" s="472">
        <f t="shared" si="0"/>
        <v>3839.6232913716235</v>
      </c>
      <c r="S9" s="472">
        <f t="shared" si="0"/>
        <v>3885.73396048325</v>
      </c>
      <c r="T9" s="472">
        <f t="shared" si="0"/>
        <v>3928.7228259014305</v>
      </c>
      <c r="U9" s="472">
        <f t="shared" si="0"/>
        <v>3963.2082474974463</v>
      </c>
      <c r="V9" s="472">
        <f t="shared" si="0"/>
        <v>4002.0105959242255</v>
      </c>
      <c r="W9" s="472">
        <f t="shared" si="0"/>
        <v>4040.4862419569254</v>
      </c>
      <c r="X9" s="472">
        <f t="shared" si="0"/>
        <v>4078.1458539417649</v>
      </c>
      <c r="Y9" s="472">
        <f t="shared" ref="Y9" si="1">SUM(Y10:Y12)</f>
        <v>4114.5364253800335</v>
      </c>
      <c r="Z9" s="472">
        <f t="shared" ref="Z9" si="2">SUM(Z10:Z12)</f>
        <v>4150.5791355082993</v>
      </c>
      <c r="AA9" s="472">
        <f t="shared" ref="AA9" si="3">SUM(AA10:AA12)</f>
        <v>4188.264463641015</v>
      </c>
      <c r="AB9" s="472">
        <f t="shared" ref="AB9" si="4">SUM(AB10:AB12)</f>
        <v>4225.9780741350496</v>
      </c>
      <c r="AC9" s="1262">
        <f t="shared" ref="AC9" si="5">SUM(AC10:AC12)</f>
        <v>4264.7804553946153</v>
      </c>
      <c r="AD9" s="473"/>
      <c r="AE9" s="473"/>
      <c r="AF9" s="473"/>
      <c r="AG9" s="473"/>
      <c r="AH9" s="473"/>
      <c r="AI9" s="473"/>
      <c r="AJ9" s="473"/>
      <c r="AK9" s="473"/>
      <c r="AL9" s="473"/>
      <c r="AM9" s="473"/>
      <c r="AN9" s="473"/>
      <c r="AO9" s="473"/>
      <c r="AP9" s="473"/>
      <c r="AQ9" s="473"/>
      <c r="AR9" s="473"/>
      <c r="AS9" s="473"/>
      <c r="AT9" s="473"/>
      <c r="AU9" s="473"/>
      <c r="AV9" s="473"/>
      <c r="AW9" s="473"/>
      <c r="AX9" s="473"/>
      <c r="AY9" s="473"/>
      <c r="AZ9" s="473"/>
      <c r="BA9" s="473"/>
      <c r="BB9" s="473"/>
      <c r="BC9" s="473"/>
    </row>
    <row r="10" spans="4:56" ht="15">
      <c r="D10" s="195" t="s">
        <v>575</v>
      </c>
      <c r="E10" s="362" t="s">
        <v>223</v>
      </c>
      <c r="F10" s="1325">
        <f>'Haver Pivoted'!GQ27</f>
        <v>1701.9</v>
      </c>
      <c r="G10" s="992">
        <f>'Haver Pivoted'!GR27</f>
        <v>1707.8</v>
      </c>
      <c r="H10" s="992">
        <f>'Haver Pivoted'!GS27</f>
        <v>1728.6</v>
      </c>
      <c r="I10" s="992">
        <f>'Haver Pivoted'!GT27</f>
        <v>1737.9</v>
      </c>
      <c r="J10" s="992">
        <f>'Haver Pivoted'!GU27</f>
        <v>1581.5</v>
      </c>
      <c r="K10" s="992">
        <f>'Haver Pivoted'!GV27</f>
        <v>1662.2</v>
      </c>
      <c r="L10" s="992">
        <f>'Haver Pivoted'!GW27</f>
        <v>1736.9</v>
      </c>
      <c r="M10" s="992">
        <f>'Haver Pivoted'!GX27</f>
        <v>1851.9</v>
      </c>
      <c r="N10" s="1256">
        <f>'Haver Pivoted'!GY27</f>
        <v>1927.2</v>
      </c>
      <c r="O10" s="1263">
        <f>N10*O71/N71</f>
        <v>1945.038516966476</v>
      </c>
      <c r="P10" s="1130">
        <f t="shared" ref="P10" si="6">O10*P71/O71</f>
        <v>1967.7521565821751</v>
      </c>
      <c r="Q10" s="1130">
        <f>Q71*I63</f>
        <v>2006.4113595057511</v>
      </c>
      <c r="R10" s="1130">
        <f t="shared" ref="R10:T10" si="7">Q10*R71/Q71</f>
        <v>2034.3828708312194</v>
      </c>
      <c r="S10" s="1130">
        <f t="shared" si="7"/>
        <v>2060.0894323458206</v>
      </c>
      <c r="T10" s="1130">
        <f t="shared" si="7"/>
        <v>2083.9642311718512</v>
      </c>
      <c r="U10" s="1130">
        <f>U71*J63</f>
        <v>2106.4775847563756</v>
      </c>
      <c r="V10" s="1130">
        <f t="shared" ref="V10:X10" si="8">U10*V71/U71</f>
        <v>2128.3102157201483</v>
      </c>
      <c r="W10" s="1130">
        <f t="shared" si="8"/>
        <v>2149.4992543879371</v>
      </c>
      <c r="X10" s="1130">
        <f t="shared" si="8"/>
        <v>2169.661020737135</v>
      </c>
      <c r="Y10" s="1130">
        <f>Y71*K63</f>
        <v>2189.6866425621829</v>
      </c>
      <c r="Z10" s="1130">
        <f t="shared" ref="Z10:AB10" si="9">Y10*Z71/Y71</f>
        <v>2208.6107314191036</v>
      </c>
      <c r="AA10" s="1130">
        <f t="shared" si="9"/>
        <v>2228.7353674435335</v>
      </c>
      <c r="AB10" s="465">
        <f t="shared" si="9"/>
        <v>2249.2189299407237</v>
      </c>
      <c r="AC10" s="1264">
        <f>AC71*L63</f>
        <v>2270.6555041069673</v>
      </c>
      <c r="AD10" s="206"/>
      <c r="AE10" s="206"/>
      <c r="AF10" s="206"/>
      <c r="AG10" s="206"/>
      <c r="AH10" s="206"/>
      <c r="AI10" s="206"/>
      <c r="AJ10" s="206"/>
      <c r="AK10" s="206"/>
      <c r="AL10" s="206"/>
      <c r="AM10" s="206"/>
      <c r="AN10" s="206"/>
      <c r="AO10" s="206"/>
      <c r="AP10" s="206"/>
      <c r="AQ10" s="206"/>
      <c r="AR10" s="206"/>
      <c r="AS10" s="206"/>
      <c r="AT10" s="206"/>
      <c r="AU10" s="206"/>
      <c r="AV10" s="206"/>
      <c r="AW10" s="206"/>
      <c r="AX10" s="206"/>
      <c r="AY10" s="206"/>
      <c r="AZ10" s="206"/>
      <c r="BA10" s="206"/>
      <c r="BB10" s="206"/>
      <c r="BC10" s="206"/>
    </row>
    <row r="11" spans="4:56" ht="15">
      <c r="D11" s="195" t="s">
        <v>574</v>
      </c>
      <c r="E11" s="117" t="s">
        <v>226</v>
      </c>
      <c r="F11" s="1325">
        <f>'Haver Pivoted'!GQ30</f>
        <v>1399.3</v>
      </c>
      <c r="G11" s="992">
        <f>'Haver Pivoted'!GR30</f>
        <v>1406.9</v>
      </c>
      <c r="H11" s="992">
        <f>'Haver Pivoted'!GS30</f>
        <v>1426.4</v>
      </c>
      <c r="I11" s="992">
        <f>'Haver Pivoted'!GT30</f>
        <v>1457.1</v>
      </c>
      <c r="J11" s="992">
        <f>'Haver Pivoted'!GU30</f>
        <v>1391.6</v>
      </c>
      <c r="K11" s="992">
        <f>'Haver Pivoted'!GV30</f>
        <v>1443.8</v>
      </c>
      <c r="L11" s="992">
        <f>'Haver Pivoted'!GW30</f>
        <v>1486</v>
      </c>
      <c r="M11" s="992">
        <f>'Haver Pivoted'!GX30</f>
        <v>1517.9</v>
      </c>
      <c r="N11" s="1256">
        <f>'Haver Pivoted'!GY30</f>
        <v>1542.1</v>
      </c>
      <c r="O11" s="1263">
        <f t="shared" ref="O11:P13" si="10">N11*O74/N74</f>
        <v>1576.9716080402011</v>
      </c>
      <c r="P11" s="1130">
        <f t="shared" si="10"/>
        <v>1602.0791658291459</v>
      </c>
      <c r="Q11" s="1130">
        <f>Q74*I64</f>
        <v>1605.7542807198761</v>
      </c>
      <c r="R11" s="1130">
        <f t="shared" ref="R11:T13" si="11">Q11*R74/Q74</f>
        <v>1625.6653887410114</v>
      </c>
      <c r="S11" s="1130">
        <f t="shared" si="11"/>
        <v>1643.5853859600331</v>
      </c>
      <c r="T11" s="1130">
        <f t="shared" si="11"/>
        <v>1660.4332465933016</v>
      </c>
      <c r="U11" s="1130">
        <f>U74*J64</f>
        <v>1676.0558082714233</v>
      </c>
      <c r="V11" s="1130">
        <f t="shared" ref="V11:X13" si="12">U11*V74/U74</f>
        <v>1691.2188828413648</v>
      </c>
      <c r="W11" s="1130">
        <f t="shared" si="12"/>
        <v>1706.6882821500931</v>
      </c>
      <c r="X11" s="1130">
        <f t="shared" si="12"/>
        <v>1722.4640061976081</v>
      </c>
      <c r="Y11" s="1130">
        <f>Y74*K64</f>
        <v>1737.2135423701877</v>
      </c>
      <c r="Z11" s="1130">
        <f t="shared" ref="Z11:AB13" si="13">Y11*Z74/Y74</f>
        <v>1752.6829416789158</v>
      </c>
      <c r="AA11" s="1130">
        <f t="shared" si="13"/>
        <v>1768.5352469111274</v>
      </c>
      <c r="AB11" s="465">
        <f t="shared" si="13"/>
        <v>1784.1731248261883</v>
      </c>
      <c r="AC11" s="1264">
        <f>AC74*L64</f>
        <v>1799.8263189781892</v>
      </c>
      <c r="AD11" s="206"/>
      <c r="AE11" s="206"/>
      <c r="AF11" s="206"/>
      <c r="AG11" s="206"/>
      <c r="AH11" s="206"/>
      <c r="AI11" s="206"/>
      <c r="AJ11" s="206"/>
      <c r="AK11" s="206"/>
      <c r="AL11" s="206"/>
      <c r="AM11" s="206"/>
      <c r="AN11" s="206"/>
      <c r="AO11" s="206"/>
      <c r="AP11" s="206"/>
      <c r="AQ11" s="206"/>
      <c r="AR11" s="206"/>
      <c r="AS11" s="206"/>
      <c r="AT11" s="206"/>
      <c r="AU11" s="206"/>
      <c r="AV11" s="206"/>
      <c r="AW11" s="206"/>
      <c r="AX11" s="206"/>
      <c r="AY11" s="206"/>
      <c r="AZ11" s="206"/>
      <c r="BA11" s="206"/>
      <c r="BB11" s="206"/>
      <c r="BC11" s="206"/>
    </row>
    <row r="12" spans="4:56" ht="15">
      <c r="D12" s="195" t="s">
        <v>572</v>
      </c>
      <c r="E12" s="362" t="s">
        <v>224</v>
      </c>
      <c r="F12" s="1325">
        <f>'Haver Pivoted'!GQ28</f>
        <v>172.2</v>
      </c>
      <c r="G12" s="992">
        <f>'Haver Pivoted'!GR28</f>
        <v>175.3</v>
      </c>
      <c r="H12" s="992">
        <f>'Haver Pivoted'!GS28</f>
        <v>177.9</v>
      </c>
      <c r="I12" s="992">
        <f>'Haver Pivoted'!GT28</f>
        <v>185.8</v>
      </c>
      <c r="J12" s="992">
        <f>'Haver Pivoted'!GU28</f>
        <v>138.30000000000001</v>
      </c>
      <c r="K12" s="992">
        <f>'Haver Pivoted'!GV28</f>
        <v>151.30000000000001</v>
      </c>
      <c r="L12" s="992">
        <f>'Haver Pivoted'!GW28</f>
        <v>156.6</v>
      </c>
      <c r="M12" s="992">
        <f>'Haver Pivoted'!GX28</f>
        <v>166.2</v>
      </c>
      <c r="N12" s="1256">
        <f>'Haver Pivoted'!GY28</f>
        <v>177.6</v>
      </c>
      <c r="O12" s="1263">
        <f t="shared" si="10"/>
        <v>180.71779306796989</v>
      </c>
      <c r="P12" s="1130">
        <f t="shared" si="10"/>
        <v>183.36734615137289</v>
      </c>
      <c r="Q12" s="1130">
        <f>Q75*I65</f>
        <v>177.30882584051193</v>
      </c>
      <c r="R12" s="1130">
        <f t="shared" si="11"/>
        <v>179.57503179939275</v>
      </c>
      <c r="S12" s="1130">
        <f t="shared" si="11"/>
        <v>182.05914217739672</v>
      </c>
      <c r="T12" s="1130">
        <f t="shared" si="11"/>
        <v>184.32534813627754</v>
      </c>
      <c r="U12" s="1130">
        <f>U75*J65</f>
        <v>180.67485446964741</v>
      </c>
      <c r="V12" s="1130">
        <f t="shared" si="12"/>
        <v>182.48149736271273</v>
      </c>
      <c r="W12" s="1130">
        <f t="shared" si="12"/>
        <v>184.29870541889539</v>
      </c>
      <c r="X12" s="1130">
        <f t="shared" si="12"/>
        <v>186.02082700702198</v>
      </c>
      <c r="Y12" s="1130">
        <f>Y75*K65</f>
        <v>187.63624044766337</v>
      </c>
      <c r="Z12" s="1130">
        <f t="shared" si="13"/>
        <v>189.28546241028027</v>
      </c>
      <c r="AA12" s="1130">
        <f t="shared" si="13"/>
        <v>190.99384928635433</v>
      </c>
      <c r="AB12" s="465">
        <f t="shared" si="13"/>
        <v>192.58601936813761</v>
      </c>
      <c r="AC12" s="1264">
        <f>AC75*L65</f>
        <v>194.29863230945855</v>
      </c>
      <c r="AD12" s="206"/>
      <c r="AE12" s="206"/>
      <c r="AF12" s="206"/>
      <c r="AG12" s="206"/>
      <c r="AH12" s="206"/>
      <c r="AI12" s="206"/>
      <c r="AJ12" s="206"/>
      <c r="AK12" s="206"/>
      <c r="AL12" s="206"/>
      <c r="AM12" s="206"/>
      <c r="AN12" s="206"/>
      <c r="AO12" s="206"/>
      <c r="AP12" s="206"/>
      <c r="AQ12" s="206"/>
      <c r="AR12" s="206"/>
      <c r="AS12" s="206"/>
      <c r="AT12" s="206"/>
      <c r="AU12" s="206"/>
      <c r="AV12" s="206"/>
      <c r="AW12" s="206"/>
      <c r="AX12" s="206"/>
      <c r="AY12" s="206"/>
      <c r="AZ12" s="206"/>
      <c r="BA12" s="206"/>
      <c r="BB12" s="206"/>
      <c r="BC12" s="206"/>
    </row>
    <row r="13" spans="4:56" s="470" customFormat="1" ht="15">
      <c r="D13" s="106" t="s">
        <v>642</v>
      </c>
      <c r="E13" s="986" t="s">
        <v>225</v>
      </c>
      <c r="F13" s="1326">
        <f>'Haver Pivoted'!GQ29</f>
        <v>218.9</v>
      </c>
      <c r="G13" s="772">
        <f>'Haver Pivoted'!GR29</f>
        <v>206.5</v>
      </c>
      <c r="H13" s="772">
        <f>'Haver Pivoted'!GS29</f>
        <v>231.4</v>
      </c>
      <c r="I13" s="772">
        <f>'Haver Pivoted'!GT29</f>
        <v>166.7</v>
      </c>
      <c r="J13" s="772">
        <f>'Haver Pivoted'!GU29</f>
        <v>167.4</v>
      </c>
      <c r="K13" s="772">
        <f>'Haver Pivoted'!GV29</f>
        <v>211.7</v>
      </c>
      <c r="L13" s="772">
        <f>'Haver Pivoted'!GW29</f>
        <v>225.1</v>
      </c>
      <c r="M13" s="772">
        <f>'Haver Pivoted'!GX29</f>
        <v>246.4</v>
      </c>
      <c r="N13" s="1257">
        <f>'Haver Pivoted'!GY29</f>
        <v>261.2</v>
      </c>
      <c r="O13" s="1263">
        <f t="shared" si="10"/>
        <v>275.36144578313252</v>
      </c>
      <c r="P13" s="1130">
        <f t="shared" si="10"/>
        <v>278.50843373493979</v>
      </c>
      <c r="Q13" s="1130">
        <f>Q76*I66</f>
        <v>331.9957125021694</v>
      </c>
      <c r="R13" s="1130">
        <f t="shared" si="11"/>
        <v>337.72752744381148</v>
      </c>
      <c r="S13" s="1130">
        <f t="shared" si="11"/>
        <v>339.30096683955634</v>
      </c>
      <c r="T13" s="1130">
        <f t="shared" si="11"/>
        <v>339.07618978302133</v>
      </c>
      <c r="U13" s="1130">
        <f>U76*J66</f>
        <v>337.39036185900898</v>
      </c>
      <c r="V13" s="1130">
        <f t="shared" si="12"/>
        <v>334.46826012405421</v>
      </c>
      <c r="W13" s="1130">
        <f t="shared" si="12"/>
        <v>332.67004367177435</v>
      </c>
      <c r="X13" s="1130">
        <f t="shared" si="12"/>
        <v>332.67004367177435</v>
      </c>
      <c r="Y13" s="1130">
        <f>Y76*K66</f>
        <v>332.1755341473974</v>
      </c>
      <c r="Z13" s="1130">
        <f t="shared" si="13"/>
        <v>333.80516780727601</v>
      </c>
      <c r="AA13" s="1130">
        <f t="shared" si="13"/>
        <v>335.18754670496617</v>
      </c>
      <c r="AB13" s="465">
        <f t="shared" si="13"/>
        <v>337.08691283268678</v>
      </c>
      <c r="AC13" s="1264">
        <f>AC76*L66</f>
        <v>337.99725991165343</v>
      </c>
      <c r="AD13" s="473"/>
      <c r="AE13" s="473"/>
      <c r="AF13" s="473"/>
      <c r="AG13" s="473"/>
      <c r="AH13" s="473"/>
      <c r="AI13" s="473"/>
      <c r="AJ13" s="473"/>
      <c r="AK13" s="473"/>
      <c r="AL13" s="473"/>
      <c r="AM13" s="473"/>
      <c r="AN13" s="473"/>
      <c r="AO13" s="473"/>
      <c r="AP13" s="473"/>
      <c r="AQ13" s="473"/>
      <c r="AR13" s="473"/>
      <c r="AS13" s="473"/>
      <c r="AT13" s="473"/>
      <c r="AU13" s="473"/>
      <c r="AV13" s="473"/>
      <c r="AW13" s="473"/>
      <c r="AX13" s="473"/>
      <c r="AY13" s="473"/>
      <c r="AZ13" s="473"/>
      <c r="BA13" s="473"/>
      <c r="BB13" s="473"/>
      <c r="BC13" s="473"/>
    </row>
    <row r="14" spans="4:56">
      <c r="D14" s="386"/>
      <c r="E14" s="854"/>
      <c r="F14" s="983"/>
      <c r="G14" s="989"/>
      <c r="H14" s="990"/>
      <c r="I14" s="990"/>
      <c r="J14" s="990"/>
      <c r="K14" s="990"/>
      <c r="L14" s="990"/>
      <c r="M14" s="990"/>
      <c r="N14" s="1258"/>
      <c r="O14" s="1265"/>
      <c r="P14" s="466"/>
      <c r="Q14" s="467"/>
      <c r="R14" s="466"/>
      <c r="S14" s="466"/>
      <c r="T14" s="467"/>
      <c r="U14" s="468"/>
      <c r="V14" s="466"/>
      <c r="W14" s="466"/>
      <c r="X14" s="466"/>
      <c r="Y14" s="466"/>
      <c r="Z14" s="466"/>
      <c r="AA14" s="466"/>
      <c r="AB14" s="466"/>
      <c r="AC14" s="1266"/>
      <c r="AD14" s="206"/>
      <c r="AE14" s="206"/>
      <c r="AF14" s="206"/>
      <c r="AG14" s="206"/>
      <c r="AH14" s="206"/>
      <c r="AI14" s="206"/>
      <c r="AJ14" s="206"/>
      <c r="AK14" s="206"/>
      <c r="AL14" s="206"/>
      <c r="AM14" s="206"/>
      <c r="AN14" s="206"/>
      <c r="AO14" s="206"/>
      <c r="AP14" s="206"/>
      <c r="AQ14" s="206"/>
      <c r="AR14" s="206"/>
      <c r="AS14" s="206"/>
      <c r="AT14" s="206"/>
      <c r="AU14" s="206"/>
      <c r="AV14" s="206"/>
      <c r="AW14" s="206"/>
      <c r="AX14" s="206"/>
      <c r="AY14" s="206"/>
      <c r="AZ14" s="206"/>
      <c r="BA14" s="206"/>
      <c r="BB14" s="206"/>
      <c r="BC14" s="206"/>
    </row>
    <row r="15" spans="4:56">
      <c r="D15" s="387" t="s">
        <v>425</v>
      </c>
      <c r="E15" s="117"/>
      <c r="F15" s="993"/>
      <c r="G15" s="990"/>
      <c r="H15" s="989"/>
      <c r="I15" s="989"/>
      <c r="J15" s="989"/>
      <c r="K15" s="989"/>
      <c r="L15" s="989"/>
      <c r="M15" s="989"/>
      <c r="N15" s="1258"/>
      <c r="O15" s="1267"/>
      <c r="P15" s="464"/>
      <c r="Q15" s="464"/>
      <c r="R15" s="464"/>
      <c r="S15" s="464"/>
      <c r="T15" s="464"/>
      <c r="U15" s="464"/>
      <c r="V15" s="464"/>
      <c r="W15" s="464"/>
      <c r="X15" s="464"/>
      <c r="Y15" s="464"/>
      <c r="Z15" s="464"/>
      <c r="AA15" s="464"/>
      <c r="AB15" s="464"/>
      <c r="AC15" s="1260"/>
    </row>
    <row r="16" spans="4:56" s="470" customFormat="1">
      <c r="D16" s="454" t="s">
        <v>641</v>
      </c>
      <c r="E16" s="987"/>
      <c r="F16" s="1326">
        <f t="shared" ref="F16:X16" si="14">SUM(F17:F19)</f>
        <v>1890.1</v>
      </c>
      <c r="G16" s="772">
        <f t="shared" si="14"/>
        <v>1889.7999999999997</v>
      </c>
      <c r="H16" s="772">
        <f t="shared" si="14"/>
        <v>1893.3000000000002</v>
      </c>
      <c r="I16" s="772">
        <f t="shared" si="14"/>
        <v>1915.1999999999998</v>
      </c>
      <c r="J16" s="772">
        <f t="shared" si="14"/>
        <v>1858.8000000000002</v>
      </c>
      <c r="K16" s="772">
        <f t="shared" si="14"/>
        <v>1932.2</v>
      </c>
      <c r="L16" s="772">
        <f t="shared" si="14"/>
        <v>1943.7</v>
      </c>
      <c r="M16" s="772">
        <f t="shared" si="14"/>
        <v>1995.3000000000002</v>
      </c>
      <c r="N16" s="1257">
        <f t="shared" si="14"/>
        <v>2107.7999999999997</v>
      </c>
      <c r="O16" s="1268">
        <f t="shared" si="14"/>
        <v>2164.4482919103875</v>
      </c>
      <c r="P16" s="471">
        <f t="shared" si="14"/>
        <v>2194.3223121532637</v>
      </c>
      <c r="Q16" s="471">
        <f t="shared" si="14"/>
        <v>2224.5413720016322</v>
      </c>
      <c r="R16" s="471">
        <f t="shared" si="14"/>
        <v>2253.7176920087013</v>
      </c>
      <c r="S16" s="471">
        <f t="shared" si="14"/>
        <v>2284.0426377976205</v>
      </c>
      <c r="T16" s="471">
        <f t="shared" si="14"/>
        <v>2311.8513323667312</v>
      </c>
      <c r="U16" s="471">
        <f t="shared" si="14"/>
        <v>2336.816532152634</v>
      </c>
      <c r="V16" s="471">
        <f t="shared" si="14"/>
        <v>2360.4098395562496</v>
      </c>
      <c r="W16" s="471">
        <f t="shared" si="14"/>
        <v>2383.8947046963863</v>
      </c>
      <c r="X16" s="471">
        <f t="shared" si="14"/>
        <v>2406.1925927068878</v>
      </c>
      <c r="Y16" s="471">
        <f t="shared" ref="Y16" si="15">SUM(Y17:Y19)</f>
        <v>2427.4681701856962</v>
      </c>
      <c r="Z16" s="471">
        <f t="shared" ref="Z16" si="16">SUM(Z17:Z19)</f>
        <v>2448.7029333186206</v>
      </c>
      <c r="AA16" s="471">
        <f t="shared" ref="AA16" si="17">SUM(AA17:AA19)</f>
        <v>2470.8658012154724</v>
      </c>
      <c r="AB16" s="471">
        <f t="shared" ref="AB16" si="18">SUM(AB17:AB19)</f>
        <v>2492.091879620777</v>
      </c>
      <c r="AC16" s="1269">
        <f t="shared" ref="AC16" si="19">SUM(AC17:AC19)</f>
        <v>2514.7144630554176</v>
      </c>
    </row>
    <row r="17" spans="4:40" ht="15">
      <c r="D17" s="195" t="s">
        <v>573</v>
      </c>
      <c r="E17" s="117" t="s">
        <v>229</v>
      </c>
      <c r="F17" s="1325">
        <f>'Haver Pivoted'!GQ33</f>
        <v>520.9</v>
      </c>
      <c r="G17" s="992">
        <f>'Haver Pivoted'!GR33</f>
        <v>497.4</v>
      </c>
      <c r="H17" s="992">
        <f>'Haver Pivoted'!GS33</f>
        <v>494.7</v>
      </c>
      <c r="I17" s="992">
        <f>'Haver Pivoted'!GT33</f>
        <v>503.8</v>
      </c>
      <c r="J17" s="992">
        <f>'Haver Pivoted'!GU33</f>
        <v>517.5</v>
      </c>
      <c r="K17" s="992">
        <f>'Haver Pivoted'!GV33</f>
        <v>519.6</v>
      </c>
      <c r="L17" s="992">
        <f>'Haver Pivoted'!GW33</f>
        <v>522.79999999999995</v>
      </c>
      <c r="M17" s="992">
        <f>'Haver Pivoted'!GX33</f>
        <v>560.20000000000005</v>
      </c>
      <c r="N17" s="1256">
        <f>'Haver Pivoted'!GY33</f>
        <v>623.29999999999995</v>
      </c>
      <c r="O17" s="1270">
        <f t="shared" ref="O17:AC17" si="20">O96*O71</f>
        <v>632.43468284193159</v>
      </c>
      <c r="P17" s="469">
        <f t="shared" si="20"/>
        <v>639.82008592841873</v>
      </c>
      <c r="Q17" s="469">
        <f t="shared" si="20"/>
        <v>648.91874241383073</v>
      </c>
      <c r="R17" s="469">
        <f t="shared" si="20"/>
        <v>657.96536082871478</v>
      </c>
      <c r="S17" s="469">
        <f t="shared" si="20"/>
        <v>666.27944332770323</v>
      </c>
      <c r="T17" s="469">
        <f t="shared" si="20"/>
        <v>674.00109240837196</v>
      </c>
      <c r="U17" s="469">
        <f t="shared" si="20"/>
        <v>681.28241935380288</v>
      </c>
      <c r="V17" s="469">
        <f t="shared" si="20"/>
        <v>688.34358523161507</v>
      </c>
      <c r="W17" s="469">
        <f t="shared" si="20"/>
        <v>695.1965988273148</v>
      </c>
      <c r="X17" s="469">
        <f t="shared" si="20"/>
        <v>701.71736935733509</v>
      </c>
      <c r="Y17" s="469">
        <f t="shared" si="20"/>
        <v>708.19410767383181</v>
      </c>
      <c r="Z17" s="469">
        <f t="shared" si="20"/>
        <v>714.31458535363595</v>
      </c>
      <c r="AA17" s="469">
        <f t="shared" si="20"/>
        <v>720.82334709814995</v>
      </c>
      <c r="AB17" s="469">
        <f t="shared" si="20"/>
        <v>727.44819376922646</v>
      </c>
      <c r="AC17" s="1271">
        <f t="shared" si="20"/>
        <v>734.38126593496929</v>
      </c>
    </row>
    <row r="18" spans="4:40" ht="15">
      <c r="D18" s="195" t="s">
        <v>574</v>
      </c>
      <c r="E18" s="117" t="s">
        <v>232</v>
      </c>
      <c r="F18" s="1325">
        <f>'Haver Pivoted'!GQ36</f>
        <v>20.5</v>
      </c>
      <c r="G18" s="992">
        <f>'Haver Pivoted'!GR36</f>
        <v>20.3</v>
      </c>
      <c r="H18" s="992">
        <f>'Haver Pivoted'!GS36</f>
        <v>20.2</v>
      </c>
      <c r="I18" s="992">
        <f>'Haver Pivoted'!GT36</f>
        <v>20.100000000000001</v>
      </c>
      <c r="J18" s="992">
        <f>'Haver Pivoted'!GU36</f>
        <v>19.100000000000001</v>
      </c>
      <c r="K18" s="992">
        <f>'Haver Pivoted'!GV36</f>
        <v>19.899999999999999</v>
      </c>
      <c r="L18" s="992">
        <f>'Haver Pivoted'!GW36</f>
        <v>20.5</v>
      </c>
      <c r="M18" s="992">
        <f>'Haver Pivoted'!GX36</f>
        <v>21.2</v>
      </c>
      <c r="N18" s="1256">
        <f>'Haver Pivoted'!GY36</f>
        <v>21.9</v>
      </c>
      <c r="O18" s="1270">
        <f t="shared" ref="O18:AC18" si="21">O97*O74</f>
        <v>21.701292779476194</v>
      </c>
      <c r="P18" s="469">
        <f t="shared" si="21"/>
        <v>22.046807219798076</v>
      </c>
      <c r="Q18" s="469">
        <f t="shared" si="21"/>
        <v>22.360329582312374</v>
      </c>
      <c r="R18" s="469">
        <f t="shared" si="21"/>
        <v>22.63759425664475</v>
      </c>
      <c r="S18" s="469">
        <f t="shared" si="21"/>
        <v>22.887132463543885</v>
      </c>
      <c r="T18" s="469">
        <f t="shared" si="21"/>
        <v>23.121741034132818</v>
      </c>
      <c r="U18" s="469">
        <f t="shared" si="21"/>
        <v>23.339287163224373</v>
      </c>
      <c r="V18" s="469">
        <f t="shared" si="21"/>
        <v>23.550434876754409</v>
      </c>
      <c r="W18" s="469">
        <f t="shared" si="21"/>
        <v>23.765848200658795</v>
      </c>
      <c r="X18" s="469">
        <f t="shared" si="21"/>
        <v>23.98552713493752</v>
      </c>
      <c r="Y18" s="469">
        <f t="shared" si="21"/>
        <v>24.190916274462193</v>
      </c>
      <c r="Z18" s="469">
        <f t="shared" si="21"/>
        <v>24.406329598366575</v>
      </c>
      <c r="AA18" s="469">
        <f t="shared" si="21"/>
        <v>24.627074935238888</v>
      </c>
      <c r="AB18" s="469">
        <f t="shared" si="21"/>
        <v>24.844834344849161</v>
      </c>
      <c r="AC18" s="1271">
        <f t="shared" si="21"/>
        <v>25.062807034978153</v>
      </c>
    </row>
    <row r="19" spans="4:40" ht="15">
      <c r="D19" s="195" t="s">
        <v>572</v>
      </c>
      <c r="E19" s="117" t="s">
        <v>230</v>
      </c>
      <c r="F19" s="1325">
        <f>'Haver Pivoted'!GQ34</f>
        <v>1348.7</v>
      </c>
      <c r="G19" s="992">
        <f>'Haver Pivoted'!GR34</f>
        <v>1372.1</v>
      </c>
      <c r="H19" s="992">
        <f>'Haver Pivoted'!GS34</f>
        <v>1378.4</v>
      </c>
      <c r="I19" s="992">
        <f>'Haver Pivoted'!GT34</f>
        <v>1391.3</v>
      </c>
      <c r="J19" s="992">
        <f>'Haver Pivoted'!GU34</f>
        <v>1322.2</v>
      </c>
      <c r="K19" s="992">
        <f>'Haver Pivoted'!GV34</f>
        <v>1392.7</v>
      </c>
      <c r="L19" s="992">
        <f>'Haver Pivoted'!GW34</f>
        <v>1400.4</v>
      </c>
      <c r="M19" s="992">
        <f>'Haver Pivoted'!GX34</f>
        <v>1413.9</v>
      </c>
      <c r="N19" s="1256">
        <f>'Haver Pivoted'!GY34</f>
        <v>1462.6</v>
      </c>
      <c r="O19" s="1270">
        <f t="shared" ref="O19:AC19" si="22">O98*O75</f>
        <v>1510.3123162889797</v>
      </c>
      <c r="P19" s="469">
        <f t="shared" si="22"/>
        <v>1532.4554190050467</v>
      </c>
      <c r="Q19" s="469">
        <f t="shared" si="22"/>
        <v>1553.2623000054889</v>
      </c>
      <c r="R19" s="469">
        <f t="shared" si="22"/>
        <v>1573.114736923342</v>
      </c>
      <c r="S19" s="469">
        <f t="shared" si="22"/>
        <v>1594.8760620063733</v>
      </c>
      <c r="T19" s="469">
        <f t="shared" si="22"/>
        <v>1614.7284989242264</v>
      </c>
      <c r="U19" s="469">
        <f t="shared" si="22"/>
        <v>1632.1948256356068</v>
      </c>
      <c r="V19" s="469">
        <f t="shared" si="22"/>
        <v>1648.5158194478804</v>
      </c>
      <c r="W19" s="469">
        <f t="shared" si="22"/>
        <v>1664.9322576684126</v>
      </c>
      <c r="X19" s="469">
        <f t="shared" si="22"/>
        <v>1680.4896962146149</v>
      </c>
      <c r="Y19" s="469">
        <f t="shared" si="22"/>
        <v>1695.0831462374022</v>
      </c>
      <c r="Z19" s="469">
        <f t="shared" si="22"/>
        <v>1709.9820183666179</v>
      </c>
      <c r="AA19" s="469">
        <f t="shared" si="22"/>
        <v>1725.4153791820836</v>
      </c>
      <c r="AB19" s="469">
        <f t="shared" si="22"/>
        <v>1739.7988515067013</v>
      </c>
      <c r="AC19" s="1271">
        <f t="shared" si="22"/>
        <v>1755.2703900854704</v>
      </c>
    </row>
    <row r="20" spans="4:40" s="470" customFormat="1" ht="15">
      <c r="D20" s="474" t="s">
        <v>642</v>
      </c>
      <c r="E20" s="988" t="s">
        <v>231</v>
      </c>
      <c r="F20" s="1327">
        <f>'Haver Pivoted'!GQ35</f>
        <v>72.8</v>
      </c>
      <c r="G20" s="984">
        <f>'Haver Pivoted'!GR35</f>
        <v>73.099999999999994</v>
      </c>
      <c r="H20" s="984">
        <f>'Haver Pivoted'!GS35</f>
        <v>72.400000000000006</v>
      </c>
      <c r="I20" s="984">
        <f>'Haver Pivoted'!GT35</f>
        <v>66.5</v>
      </c>
      <c r="J20" s="984">
        <f>'Haver Pivoted'!GU35</f>
        <v>61.9</v>
      </c>
      <c r="K20" s="984">
        <f>'Haver Pivoted'!GV35</f>
        <v>76.8</v>
      </c>
      <c r="L20" s="984">
        <f>'Haver Pivoted'!GW35</f>
        <v>78.8</v>
      </c>
      <c r="M20" s="984">
        <f>'Haver Pivoted'!GX35</f>
        <v>85.5</v>
      </c>
      <c r="N20" s="994">
        <f>'Haver Pivoted'!GY35</f>
        <v>90.6</v>
      </c>
      <c r="O20" s="1272">
        <f t="shared" ref="O20:AC20" si="23">O99*O76</f>
        <v>119.87954743783622</v>
      </c>
      <c r="P20" s="1273">
        <f t="shared" si="23"/>
        <v>121.24959940855436</v>
      </c>
      <c r="Q20" s="1273">
        <f t="shared" si="23"/>
        <v>119.03333886768679</v>
      </c>
      <c r="R20" s="1273">
        <f t="shared" si="23"/>
        <v>121.08841682376399</v>
      </c>
      <c r="S20" s="1273">
        <f t="shared" si="23"/>
        <v>121.65255587053028</v>
      </c>
      <c r="T20" s="1273">
        <f t="shared" si="23"/>
        <v>121.57196457813509</v>
      </c>
      <c r="U20" s="1273">
        <f t="shared" si="23"/>
        <v>120.96752988517122</v>
      </c>
      <c r="V20" s="1273">
        <f t="shared" si="23"/>
        <v>119.91984308403381</v>
      </c>
      <c r="W20" s="1273">
        <f t="shared" si="23"/>
        <v>119.27511274487235</v>
      </c>
      <c r="X20" s="1273">
        <f t="shared" si="23"/>
        <v>119.27511274487235</v>
      </c>
      <c r="Y20" s="1273">
        <f t="shared" si="23"/>
        <v>119.09781190160294</v>
      </c>
      <c r="Z20" s="1273">
        <f t="shared" si="23"/>
        <v>119.68209877146802</v>
      </c>
      <c r="AA20" s="1273">
        <f t="shared" si="23"/>
        <v>120.17773521969842</v>
      </c>
      <c r="AB20" s="1273">
        <f t="shared" si="23"/>
        <v>120.85873164043772</v>
      </c>
      <c r="AC20" s="1274">
        <f t="shared" si="23"/>
        <v>121.18512637463822</v>
      </c>
    </row>
    <row r="21" spans="4:40" s="773" customFormat="1">
      <c r="D21" s="769"/>
      <c r="E21" s="770"/>
      <c r="F21" s="771"/>
      <c r="G21" s="771"/>
      <c r="H21" s="772"/>
      <c r="I21" s="772"/>
      <c r="J21" s="772"/>
      <c r="K21" s="772"/>
      <c r="L21" s="772"/>
      <c r="M21" s="772"/>
      <c r="N21" s="772"/>
      <c r="O21" s="772"/>
      <c r="P21" s="772"/>
      <c r="Q21" s="772"/>
      <c r="R21" s="772"/>
      <c r="S21" s="772"/>
      <c r="T21" s="772"/>
      <c r="U21" s="772"/>
      <c r="V21" s="772"/>
      <c r="W21" s="772"/>
      <c r="X21" s="772"/>
      <c r="Y21" s="772"/>
    </row>
    <row r="22" spans="4:40" ht="41.5" customHeight="1">
      <c r="D22" s="383"/>
      <c r="E22" s="383"/>
      <c r="F22" s="519"/>
      <c r="G22" s="519"/>
      <c r="H22" s="455"/>
      <c r="I22" s="455"/>
      <c r="J22" s="455"/>
      <c r="K22" s="455"/>
      <c r="L22" s="455"/>
      <c r="M22" s="137"/>
      <c r="N22" s="137"/>
      <c r="O22" s="37"/>
      <c r="P22" s="37"/>
      <c r="Q22" s="37"/>
      <c r="R22" s="37"/>
      <c r="S22" s="37"/>
      <c r="T22" s="37"/>
      <c r="U22" s="37"/>
      <c r="V22" s="37"/>
      <c r="W22" s="37"/>
      <c r="X22" s="37"/>
      <c r="Y22" s="37"/>
      <c r="Z22" s="37"/>
      <c r="AA22" s="37"/>
      <c r="AB22" s="37"/>
      <c r="AC22" s="37"/>
      <c r="AD22" s="455"/>
      <c r="AE22" s="455"/>
      <c r="AF22" s="455"/>
      <c r="AG22" s="455"/>
      <c r="AH22" s="455"/>
      <c r="AI22" s="455"/>
      <c r="AJ22" s="455"/>
      <c r="AK22" s="455"/>
      <c r="AL22" s="383"/>
      <c r="AM22" s="455"/>
      <c r="AN22" s="455"/>
    </row>
    <row r="23" spans="4:40" ht="30.5" customHeight="1">
      <c r="D23" s="525" t="s">
        <v>1211</v>
      </c>
      <c r="E23" s="526">
        <v>2018</v>
      </c>
      <c r="F23" s="527">
        <v>2019</v>
      </c>
      <c r="G23" s="527">
        <v>2020</v>
      </c>
      <c r="H23" s="536">
        <v>2021</v>
      </c>
      <c r="I23" s="535">
        <v>2022</v>
      </c>
      <c r="J23" s="535">
        <v>2023</v>
      </c>
      <c r="K23" s="535">
        <v>2024</v>
      </c>
      <c r="L23" s="1075">
        <v>2025</v>
      </c>
      <c r="M23" s="37"/>
      <c r="N23" s="1131"/>
      <c r="O23" s="782"/>
      <c r="P23" s="37"/>
      <c r="Q23" s="37"/>
      <c r="R23" s="37"/>
      <c r="S23" s="37"/>
      <c r="T23" s="37"/>
      <c r="U23" s="37"/>
      <c r="V23" s="37"/>
      <c r="W23" s="37"/>
      <c r="X23" s="37"/>
      <c r="Y23" s="37"/>
      <c r="Z23" s="37"/>
      <c r="AA23" s="37"/>
      <c r="AB23" s="37"/>
      <c r="AC23" s="37"/>
    </row>
    <row r="24" spans="4:40" s="57" customFormat="1" ht="16.5" customHeight="1">
      <c r="D24" s="1221" t="s">
        <v>643</v>
      </c>
      <c r="E24" s="1208">
        <v>1683.5</v>
      </c>
      <c r="F24" s="1209">
        <v>1717.9</v>
      </c>
      <c r="G24" s="1217">
        <v>1609</v>
      </c>
      <c r="H24" s="1210">
        <v>1951.672</v>
      </c>
      <c r="I24" s="1210">
        <v>2327.7150000000001</v>
      </c>
      <c r="J24" s="1210">
        <v>2333.6329999999998</v>
      </c>
      <c r="K24" s="1210">
        <v>2353.3359999999998</v>
      </c>
      <c r="L24" s="1211">
        <v>2383.1750000000002</v>
      </c>
      <c r="M24" s="1250" t="s">
        <v>1179</v>
      </c>
      <c r="N24" s="880"/>
      <c r="O24" s="876"/>
      <c r="P24" s="877"/>
      <c r="Q24" s="877"/>
      <c r="R24" s="877"/>
      <c r="S24" s="877"/>
      <c r="T24" s="877"/>
      <c r="U24" s="877"/>
      <c r="V24" s="877"/>
      <c r="W24" s="877"/>
      <c r="X24" s="821"/>
      <c r="Y24" s="875"/>
      <c r="Z24" s="878"/>
    </row>
    <row r="25" spans="4:40" s="57" customFormat="1" ht="16.5" customHeight="1">
      <c r="D25" s="1221" t="s">
        <v>644</v>
      </c>
      <c r="E25" s="1212">
        <v>1170.7</v>
      </c>
      <c r="F25" s="1213">
        <v>1243.4000000000001</v>
      </c>
      <c r="G25" s="1218">
        <v>1310</v>
      </c>
      <c r="H25" s="505">
        <v>1345.5429999999999</v>
      </c>
      <c r="I25" s="505">
        <v>1391.2439999999999</v>
      </c>
      <c r="J25" s="505">
        <v>1503.952</v>
      </c>
      <c r="K25" s="505">
        <v>1549.5619999999999</v>
      </c>
      <c r="L25" s="1141">
        <v>1588.4880000000001</v>
      </c>
      <c r="M25" s="875"/>
      <c r="N25" s="875"/>
      <c r="O25" s="876"/>
      <c r="P25" s="877"/>
      <c r="Q25" s="877"/>
      <c r="R25" s="877"/>
      <c r="S25" s="877"/>
      <c r="T25" s="877"/>
      <c r="U25" s="877"/>
      <c r="V25" s="877"/>
      <c r="W25" s="877"/>
      <c r="X25" s="821"/>
      <c r="Y25" s="875"/>
      <c r="Z25" s="878"/>
    </row>
    <row r="26" spans="4:40" s="57" customFormat="1">
      <c r="D26" s="563" t="s">
        <v>1217</v>
      </c>
      <c r="E26" s="795">
        <f>E27+E28</f>
        <v>136.30000000000001</v>
      </c>
      <c r="F26" s="426">
        <f t="shared" ref="F26:G26" si="24">F27+F28</f>
        <v>170.6</v>
      </c>
      <c r="G26" s="1219">
        <f t="shared" si="24"/>
        <v>156</v>
      </c>
      <c r="H26" s="505">
        <f>H27+H28</f>
        <v>156</v>
      </c>
      <c r="I26" s="505">
        <f>I27+I28</f>
        <v>174</v>
      </c>
      <c r="J26" s="505">
        <f>J27+J28</f>
        <v>177</v>
      </c>
      <c r="K26" s="505">
        <f>K27+K28</f>
        <v>181</v>
      </c>
      <c r="L26" s="1141">
        <f>L27+L28</f>
        <v>181</v>
      </c>
      <c r="N26" s="825"/>
      <c r="O26" s="881"/>
      <c r="P26" s="882"/>
      <c r="Q26" s="882"/>
      <c r="R26" s="882"/>
      <c r="S26" s="882"/>
      <c r="T26" s="882"/>
      <c r="U26" s="882"/>
      <c r="V26" s="882"/>
      <c r="W26" s="882"/>
      <c r="X26" s="881"/>
    </row>
    <row r="27" spans="4:40" s="57" customFormat="1" ht="16.5" customHeight="1">
      <c r="D27" s="195" t="s">
        <v>1218</v>
      </c>
      <c r="E27" s="1212">
        <v>95</v>
      </c>
      <c r="F27" s="1213">
        <v>99.8</v>
      </c>
      <c r="G27" s="1218">
        <v>87</v>
      </c>
      <c r="H27" s="1205">
        <v>75</v>
      </c>
      <c r="I27" s="1205">
        <v>86</v>
      </c>
      <c r="J27" s="1205">
        <v>88</v>
      </c>
      <c r="K27" s="1205">
        <v>91</v>
      </c>
      <c r="L27" s="1214">
        <v>91</v>
      </c>
      <c r="M27" s="875"/>
      <c r="N27" s="875"/>
      <c r="O27" s="879"/>
      <c r="P27" s="877"/>
      <c r="Q27" s="877"/>
      <c r="R27" s="877"/>
      <c r="S27" s="877"/>
      <c r="T27" s="877"/>
      <c r="U27" s="877"/>
      <c r="V27" s="877"/>
      <c r="W27" s="877"/>
      <c r="X27" s="821"/>
      <c r="Y27" s="875"/>
      <c r="Z27" s="878"/>
    </row>
    <row r="28" spans="4:40" s="57" customFormat="1" ht="16.5" customHeight="1">
      <c r="D28" s="195" t="s">
        <v>1219</v>
      </c>
      <c r="E28" s="1212">
        <v>41.3</v>
      </c>
      <c r="F28" s="1213">
        <v>70.8</v>
      </c>
      <c r="G28" s="1218">
        <v>69</v>
      </c>
      <c r="H28" s="1205">
        <v>81</v>
      </c>
      <c r="I28" s="1205">
        <v>88</v>
      </c>
      <c r="J28" s="1205">
        <v>89</v>
      </c>
      <c r="K28" s="1205">
        <v>90</v>
      </c>
      <c r="L28" s="1214">
        <v>90</v>
      </c>
      <c r="M28" s="875"/>
      <c r="N28" s="875"/>
      <c r="O28" s="879"/>
      <c r="P28" s="877"/>
      <c r="Q28" s="877"/>
      <c r="R28" s="877"/>
      <c r="S28" s="877"/>
      <c r="T28" s="877"/>
      <c r="U28" s="877"/>
      <c r="V28" s="877"/>
      <c r="W28" s="877"/>
      <c r="X28" s="821"/>
      <c r="Y28" s="875"/>
      <c r="Z28" s="878"/>
    </row>
    <row r="29" spans="4:40" ht="16.5" customHeight="1">
      <c r="D29" s="1222" t="s">
        <v>645</v>
      </c>
      <c r="E29" s="1215">
        <v>204.7</v>
      </c>
      <c r="F29" s="1216">
        <v>230.2</v>
      </c>
      <c r="G29" s="1220">
        <v>212</v>
      </c>
      <c r="H29" s="1206">
        <v>238.38800000000001</v>
      </c>
      <c r="I29" s="1206">
        <v>316.697</v>
      </c>
      <c r="J29" s="1206">
        <v>379.19200000000001</v>
      </c>
      <c r="K29" s="1206">
        <v>389.55099999999999</v>
      </c>
      <c r="L29" s="1207">
        <v>402.43099999999998</v>
      </c>
      <c r="M29" s="456"/>
      <c r="N29" s="456"/>
      <c r="O29" s="822"/>
      <c r="P29" s="823"/>
      <c r="Q29" s="823"/>
      <c r="R29" s="823"/>
      <c r="S29" s="823"/>
      <c r="T29" s="823"/>
      <c r="U29" s="823"/>
      <c r="V29" s="823"/>
      <c r="W29" s="823"/>
      <c r="X29" s="824"/>
      <c r="Y29" s="456"/>
      <c r="Z29" s="391"/>
    </row>
    <row r="30" spans="4:40" ht="16.5" customHeight="1">
      <c r="D30" s="390"/>
      <c r="E30" s="458"/>
      <c r="F30" s="458"/>
      <c r="G30" s="456"/>
      <c r="H30" s="456"/>
      <c r="I30" s="456"/>
      <c r="J30" s="456"/>
      <c r="K30" s="456"/>
      <c r="L30" s="456"/>
      <c r="M30" s="456"/>
      <c r="N30" s="456"/>
      <c r="O30" s="824"/>
      <c r="P30" s="824"/>
      <c r="Q30" s="824"/>
      <c r="R30" s="824"/>
      <c r="S30" s="824"/>
      <c r="T30" s="824"/>
      <c r="U30" s="824"/>
      <c r="V30" s="824"/>
      <c r="W30" s="824"/>
      <c r="X30" s="824"/>
      <c r="Y30" s="456"/>
      <c r="Z30" s="391"/>
    </row>
    <row r="31" spans="4:40">
      <c r="D31" s="521" t="s">
        <v>690</v>
      </c>
      <c r="E31" s="1184">
        <v>2018</v>
      </c>
      <c r="F31" s="1185">
        <v>2019</v>
      </c>
      <c r="G31" s="1186">
        <v>2020</v>
      </c>
      <c r="H31" s="1187">
        <v>2021</v>
      </c>
      <c r="I31" s="1187">
        <v>2022</v>
      </c>
      <c r="J31" s="1187">
        <v>2023</v>
      </c>
      <c r="K31" s="1187">
        <v>2024</v>
      </c>
      <c r="L31" s="1188">
        <v>2025</v>
      </c>
      <c r="O31" s="302" t="s">
        <v>646</v>
      </c>
    </row>
    <row r="32" spans="4:40" ht="14.5" customHeight="1">
      <c r="D32" s="520" t="s">
        <v>643</v>
      </c>
      <c r="E32" s="389">
        <v>1622</v>
      </c>
      <c r="F32" s="389">
        <v>1687</v>
      </c>
      <c r="G32" s="457">
        <v>1695</v>
      </c>
      <c r="H32" s="1189">
        <f>AVERAGE(L10:O10)</f>
        <v>1865.259629241619</v>
      </c>
      <c r="I32" s="1190">
        <f>AVERAGE(P10:S10)</f>
        <v>2017.1589548162415</v>
      </c>
      <c r="J32" s="1190">
        <f>AVERAGE(T10:W10)</f>
        <v>2117.0628215090783</v>
      </c>
      <c r="K32" s="1190">
        <f>AVERAGE(X10:AA10)</f>
        <v>2199.1734405404886</v>
      </c>
      <c r="L32" s="1191"/>
    </row>
    <row r="33" spans="4:20">
      <c r="D33" s="520" t="s">
        <v>647</v>
      </c>
      <c r="E33" s="389">
        <v>1332</v>
      </c>
      <c r="F33" s="389">
        <v>1388</v>
      </c>
      <c r="G33" s="457">
        <v>1414</v>
      </c>
      <c r="H33" s="1132">
        <f>AVERAGE(L11:O11)</f>
        <v>1530.7429020100503</v>
      </c>
      <c r="I33" s="1133">
        <f>AVERAGE(P11:S11)</f>
        <v>1619.2710553125166</v>
      </c>
      <c r="J33" s="1133">
        <f>AVERAGE(T11:W11)</f>
        <v>1683.5990549640458</v>
      </c>
      <c r="K33" s="1133">
        <f>AVERAGE(X11:AA11)</f>
        <v>1745.2239342894597</v>
      </c>
      <c r="L33" s="1192"/>
      <c r="N33" s="558"/>
      <c r="O33" s="1482"/>
      <c r="P33" s="1482"/>
      <c r="Q33" s="1482"/>
      <c r="R33" s="1482"/>
    </row>
    <row r="34" spans="4:20">
      <c r="D34" s="520" t="s">
        <v>648</v>
      </c>
      <c r="E34" s="389">
        <v>150</v>
      </c>
      <c r="F34" s="389">
        <v>175</v>
      </c>
      <c r="G34" s="379">
        <v>160</v>
      </c>
      <c r="H34" s="1132">
        <f>AVERAGE(L12:O12)</f>
        <v>170.27944826699246</v>
      </c>
      <c r="I34" s="1133">
        <f>AVERAGE(P12:S12)</f>
        <v>180.57758649216856</v>
      </c>
      <c r="J34" s="1133">
        <f>AVERAGE(T12:W12)</f>
        <v>182.94510134688329</v>
      </c>
      <c r="K34" s="1133">
        <f>AVERAGE(X12:AA12)</f>
        <v>188.48409478783</v>
      </c>
      <c r="L34" s="1192"/>
      <c r="N34" s="558"/>
      <c r="O34" s="1482" t="s">
        <v>488</v>
      </c>
      <c r="P34" s="1482"/>
      <c r="Q34" s="1482"/>
      <c r="R34" s="1482"/>
    </row>
    <row r="35" spans="4:20">
      <c r="D35" s="491" t="s">
        <v>511</v>
      </c>
      <c r="E35" s="196">
        <v>208</v>
      </c>
      <c r="F35" s="196">
        <v>219</v>
      </c>
      <c r="G35" s="459">
        <v>197</v>
      </c>
      <c r="H35" s="1193">
        <f>AVERAGE(L13:O13)</f>
        <v>252.01536144578313</v>
      </c>
      <c r="I35" s="1194">
        <f>AVERAGE(P13:S13)</f>
        <v>321.88316013011922</v>
      </c>
      <c r="J35" s="1194">
        <f>AVERAGE(T13:W13)</f>
        <v>335.90121385946475</v>
      </c>
      <c r="K35" s="1194">
        <f>AVERAGE(X13:AA13)</f>
        <v>333.45957308285347</v>
      </c>
      <c r="L35" s="1195"/>
      <c r="N35" s="558"/>
      <c r="O35" s="384" t="s">
        <v>649</v>
      </c>
      <c r="P35" s="384" t="s">
        <v>650</v>
      </c>
      <c r="Q35" s="384" t="s">
        <v>651</v>
      </c>
      <c r="R35" s="384" t="s">
        <v>652</v>
      </c>
    </row>
    <row r="36" spans="4:20" ht="15">
      <c r="D36" s="460"/>
      <c r="E36" s="389"/>
      <c r="F36" s="389"/>
      <c r="G36" s="389"/>
      <c r="H36" s="120"/>
      <c r="I36" s="120"/>
      <c r="J36" s="120"/>
      <c r="K36" s="120"/>
      <c r="L36" s="120"/>
      <c r="N36" s="302" t="s">
        <v>653</v>
      </c>
      <c r="O36" s="383">
        <v>2291.1</v>
      </c>
      <c r="P36" s="383">
        <v>2308.4</v>
      </c>
      <c r="Q36" s="383">
        <v>2338.6999999999998</v>
      </c>
      <c r="R36" s="383">
        <v>2350.6</v>
      </c>
    </row>
    <row r="37" spans="4:20">
      <c r="D37" s="595" t="s">
        <v>1222</v>
      </c>
      <c r="E37" s="389"/>
      <c r="F37" s="389"/>
      <c r="G37" s="389"/>
      <c r="H37" s="120"/>
      <c r="I37" s="120"/>
      <c r="J37" s="120"/>
      <c r="K37" s="120"/>
      <c r="L37" s="120"/>
      <c r="P37" s="302">
        <f>P36/O36</f>
        <v>1.0075509580550828</v>
      </c>
      <c r="Q37" s="302">
        <f>Q36/P36</f>
        <v>1.0131259747010914</v>
      </c>
      <c r="R37" s="302">
        <f>R36/Q36</f>
        <v>1.0050882969170907</v>
      </c>
    </row>
    <row r="38" spans="4:20">
      <c r="D38" s="522" t="s">
        <v>689</v>
      </c>
      <c r="E38" s="523">
        <v>2018</v>
      </c>
      <c r="F38" s="523">
        <v>2019</v>
      </c>
      <c r="G38" s="524">
        <v>2020</v>
      </c>
      <c r="H38" s="1202">
        <v>2021</v>
      </c>
      <c r="I38" s="1203">
        <v>2022</v>
      </c>
      <c r="J38" s="1203">
        <v>2023</v>
      </c>
      <c r="K38" s="1203">
        <v>2024</v>
      </c>
      <c r="L38" s="1204">
        <v>2025</v>
      </c>
    </row>
    <row r="39" spans="4:20">
      <c r="D39" s="520" t="s">
        <v>643</v>
      </c>
      <c r="E39" s="418">
        <f t="shared" ref="E39:G41" si="25">E32/E24</f>
        <v>0.96346896346896349</v>
      </c>
      <c r="F39" s="418">
        <f t="shared" si="25"/>
        <v>0.98201292275452579</v>
      </c>
      <c r="G39" s="440">
        <f t="shared" si="25"/>
        <v>1.0534493474207582</v>
      </c>
      <c r="H39" s="1197">
        <f t="shared" ref="H39:K39" si="26">H32/H24</f>
        <v>0.95572392760751756</v>
      </c>
      <c r="I39" s="1198">
        <f t="shared" si="26"/>
        <v>0.86658330371898684</v>
      </c>
      <c r="J39" s="1198">
        <f t="shared" si="26"/>
        <v>0.90719612788689497</v>
      </c>
      <c r="K39" s="1198">
        <f t="shared" si="26"/>
        <v>0.93449190448813468</v>
      </c>
      <c r="L39" s="1316"/>
      <c r="T39" s="235"/>
    </row>
    <row r="40" spans="4:20">
      <c r="D40" s="520" t="s">
        <v>647</v>
      </c>
      <c r="E40" s="418">
        <f t="shared" si="25"/>
        <v>1.1377808148970701</v>
      </c>
      <c r="F40" s="418">
        <f t="shared" si="25"/>
        <v>1.1162940324915553</v>
      </c>
      <c r="G40" s="440">
        <f t="shared" si="25"/>
        <v>1.0793893129770993</v>
      </c>
      <c r="H40" s="1199">
        <f t="shared" ref="H40:K40" si="27">H33/H25</f>
        <v>1.1376395269493806</v>
      </c>
      <c r="I40" s="1196">
        <f t="shared" si="27"/>
        <v>1.1639015552358298</v>
      </c>
      <c r="J40" s="1196">
        <f t="shared" si="27"/>
        <v>1.1194499923960644</v>
      </c>
      <c r="K40" s="1196">
        <f t="shared" si="27"/>
        <v>1.1262691872215891</v>
      </c>
      <c r="L40" s="1192"/>
    </row>
    <row r="41" spans="4:20">
      <c r="D41" s="520" t="s">
        <v>648</v>
      </c>
      <c r="E41" s="418">
        <f t="shared" si="25"/>
        <v>1.1005135730007336</v>
      </c>
      <c r="F41" s="418">
        <f t="shared" si="25"/>
        <v>1.0257913247362251</v>
      </c>
      <c r="G41" s="418">
        <f t="shared" si="25"/>
        <v>1.0256410256410255</v>
      </c>
      <c r="H41" s="1199">
        <f t="shared" ref="H41:K41" si="28">H34/H26</f>
        <v>1.0915349247884132</v>
      </c>
      <c r="I41" s="1196">
        <f t="shared" si="28"/>
        <v>1.0378022212193596</v>
      </c>
      <c r="J41" s="1196">
        <f t="shared" si="28"/>
        <v>1.0335881432027305</v>
      </c>
      <c r="K41" s="1196">
        <f t="shared" si="28"/>
        <v>1.0413485899880111</v>
      </c>
      <c r="L41" s="1192"/>
    </row>
    <row r="42" spans="4:20">
      <c r="D42" s="491" t="s">
        <v>511</v>
      </c>
      <c r="E42" s="443">
        <f>E35/E29</f>
        <v>1.0161211529066927</v>
      </c>
      <c r="F42" s="443">
        <f>F35/F29</f>
        <v>0.95134665508253702</v>
      </c>
      <c r="G42" s="443">
        <f>G35/G29</f>
        <v>0.92924528301886788</v>
      </c>
      <c r="H42" s="1200">
        <f t="shared" ref="H42:K42" si="29">H35/H29</f>
        <v>1.057164628445153</v>
      </c>
      <c r="I42" s="1201">
        <f t="shared" si="29"/>
        <v>1.0163757791520578</v>
      </c>
      <c r="J42" s="1201">
        <f t="shared" si="29"/>
        <v>0.88583412587677146</v>
      </c>
      <c r="K42" s="1201">
        <f t="shared" si="29"/>
        <v>0.85601005537876551</v>
      </c>
      <c r="L42" s="1195"/>
    </row>
    <row r="44" spans="4:20">
      <c r="D44" s="460"/>
      <c r="E44" s="389"/>
      <c r="F44" s="389"/>
      <c r="G44" s="389"/>
    </row>
    <row r="45" spans="4:20">
      <c r="D45" s="302" t="s">
        <v>704</v>
      </c>
    </row>
    <row r="46" spans="4:20">
      <c r="D46" s="489" t="s">
        <v>1221</v>
      </c>
      <c r="E46" s="1184">
        <v>2018</v>
      </c>
      <c r="F46" s="1240">
        <v>2019</v>
      </c>
      <c r="G46" s="1240">
        <v>2020</v>
      </c>
      <c r="H46" s="1241">
        <v>2021</v>
      </c>
      <c r="I46" s="1242">
        <v>2022</v>
      </c>
      <c r="J46" s="1242">
        <v>2023</v>
      </c>
      <c r="K46" s="1242">
        <v>2024</v>
      </c>
      <c r="L46" s="1243">
        <v>2025</v>
      </c>
    </row>
    <row r="47" spans="4:20">
      <c r="D47" s="1251" t="s">
        <v>1220</v>
      </c>
      <c r="E47" s="795">
        <v>14016.099999999999</v>
      </c>
      <c r="F47" s="426">
        <v>14604.2</v>
      </c>
      <c r="G47" s="534">
        <v>14711.300000000001</v>
      </c>
      <c r="H47" s="533">
        <v>15405.2</v>
      </c>
      <c r="I47" s="533">
        <v>16319.2</v>
      </c>
      <c r="J47" s="533">
        <v>17105.099999999999</v>
      </c>
      <c r="K47" s="533">
        <v>17768.5</v>
      </c>
      <c r="L47" s="461">
        <v>18434.599999999999</v>
      </c>
    </row>
    <row r="48" spans="4:20">
      <c r="D48" s="1251" t="s">
        <v>1223</v>
      </c>
      <c r="E48" s="198">
        <v>8804</v>
      </c>
      <c r="F48" s="48">
        <v>9209</v>
      </c>
      <c r="G48" s="534">
        <v>9300</v>
      </c>
      <c r="H48" s="533">
        <v>9843</v>
      </c>
      <c r="I48" s="533">
        <v>10541</v>
      </c>
      <c r="J48" s="533">
        <v>10992</v>
      </c>
      <c r="K48" s="533">
        <v>11395</v>
      </c>
      <c r="L48" s="461">
        <v>11808</v>
      </c>
    </row>
    <row r="49" spans="4:25">
      <c r="D49" s="1251" t="s">
        <v>1224</v>
      </c>
      <c r="E49" s="198">
        <v>13844</v>
      </c>
      <c r="F49" s="48">
        <v>14403</v>
      </c>
      <c r="G49" s="534">
        <v>14201</v>
      </c>
      <c r="H49" s="533">
        <v>15238</v>
      </c>
      <c r="I49" s="533">
        <v>16381</v>
      </c>
      <c r="J49" s="533">
        <v>17184</v>
      </c>
      <c r="K49" s="533">
        <v>17840</v>
      </c>
      <c r="L49" s="461">
        <v>18477</v>
      </c>
    </row>
    <row r="50" spans="4:25">
      <c r="D50" s="1252" t="s">
        <v>1225</v>
      </c>
      <c r="E50" s="1124">
        <v>2211</v>
      </c>
      <c r="F50" s="1125">
        <v>2243</v>
      </c>
      <c r="G50" s="1126">
        <v>2125</v>
      </c>
      <c r="H50" s="1127">
        <v>2616</v>
      </c>
      <c r="I50" s="1127">
        <v>2996</v>
      </c>
      <c r="J50" s="1127">
        <v>2989</v>
      </c>
      <c r="K50" s="1127">
        <v>2967</v>
      </c>
      <c r="L50" s="1128">
        <v>3017</v>
      </c>
    </row>
    <row r="51" spans="4:25" s="57" customFormat="1"/>
    <row r="53" spans="4:25">
      <c r="D53" s="302" t="s">
        <v>705</v>
      </c>
    </row>
    <row r="54" spans="4:25">
      <c r="D54" s="521" t="s">
        <v>654</v>
      </c>
      <c r="E54" s="351">
        <v>2018</v>
      </c>
      <c r="F54" s="883">
        <v>2019</v>
      </c>
      <c r="G54" s="883">
        <v>2020</v>
      </c>
      <c r="H54" s="1236">
        <v>2021</v>
      </c>
      <c r="I54" s="884">
        <v>2022</v>
      </c>
      <c r="J54" s="884">
        <v>2023</v>
      </c>
      <c r="K54" s="884">
        <v>2024</v>
      </c>
      <c r="L54" s="1237">
        <v>2025</v>
      </c>
    </row>
    <row r="55" spans="4:25">
      <c r="D55" s="1253" t="s">
        <v>643</v>
      </c>
      <c r="E55" s="1244">
        <f>E24/E47</f>
        <v>0.12011187134794987</v>
      </c>
      <c r="F55" s="1245">
        <f t="shared" ref="F55:L55" si="30">F24/F47</f>
        <v>0.11763054463784391</v>
      </c>
      <c r="G55" s="1247">
        <f t="shared" si="30"/>
        <v>0.10937170746297063</v>
      </c>
      <c r="H55" s="1121">
        <f t="shared" si="30"/>
        <v>0.12668916989068627</v>
      </c>
      <c r="I55" s="1121">
        <f t="shared" si="30"/>
        <v>0.14263658757782244</v>
      </c>
      <c r="J55" s="1121">
        <f t="shared" si="30"/>
        <v>0.1364290767081163</v>
      </c>
      <c r="K55" s="1121">
        <f t="shared" si="30"/>
        <v>0.13244426935306863</v>
      </c>
      <c r="L55" s="1239">
        <f t="shared" si="30"/>
        <v>0.12927728293534985</v>
      </c>
    </row>
    <row r="56" spans="4:25">
      <c r="D56" s="1253" t="s">
        <v>644</v>
      </c>
      <c r="E56" s="1246">
        <f t="shared" ref="E56:L56" si="31">E25/E48</f>
        <v>0.13297364834166289</v>
      </c>
      <c r="F56" s="532">
        <f t="shared" si="31"/>
        <v>0.13502008904332718</v>
      </c>
      <c r="G56" s="1248">
        <f t="shared" si="31"/>
        <v>0.14086021505376345</v>
      </c>
      <c r="H56" s="539">
        <f t="shared" si="31"/>
        <v>0.13670049781570659</v>
      </c>
      <c r="I56" s="539">
        <f t="shared" si="31"/>
        <v>0.13198406223318471</v>
      </c>
      <c r="J56" s="539">
        <f t="shared" si="31"/>
        <v>0.13682241630276565</v>
      </c>
      <c r="K56" s="539">
        <f t="shared" si="31"/>
        <v>0.13598613426941641</v>
      </c>
      <c r="L56" s="1122">
        <f t="shared" si="31"/>
        <v>0.13452642276422766</v>
      </c>
    </row>
    <row r="57" spans="4:25">
      <c r="D57" s="1251" t="s">
        <v>655</v>
      </c>
      <c r="E57" s="1246">
        <f t="shared" ref="E57:L57" si="32">E26/E49</f>
        <v>9.8454203987286912E-3</v>
      </c>
      <c r="F57" s="532">
        <f t="shared" si="32"/>
        <v>1.1844754565021176E-2</v>
      </c>
      <c r="G57" s="1248">
        <f t="shared" si="32"/>
        <v>1.0985141891416098E-2</v>
      </c>
      <c r="H57" s="539">
        <f t="shared" si="32"/>
        <v>1.0237563984774906E-2</v>
      </c>
      <c r="I57" s="539">
        <f t="shared" si="32"/>
        <v>1.0622062145168183E-2</v>
      </c>
      <c r="J57" s="539">
        <f t="shared" si="32"/>
        <v>1.0300279329608938E-2</v>
      </c>
      <c r="K57" s="539">
        <f t="shared" si="32"/>
        <v>1.0145739910313901E-2</v>
      </c>
      <c r="L57" s="1122">
        <f t="shared" si="32"/>
        <v>9.7959625480326887E-3</v>
      </c>
    </row>
    <row r="58" spans="4:25">
      <c r="D58" s="1254" t="s">
        <v>645</v>
      </c>
      <c r="E58" s="1123">
        <f>E29/E50</f>
        <v>9.258254183627318E-2</v>
      </c>
      <c r="F58" s="401">
        <f t="shared" ref="F58:L58" si="33">F29/F50</f>
        <v>0.10263040570664288</v>
      </c>
      <c r="G58" s="1249">
        <f t="shared" si="33"/>
        <v>9.9764705882352936E-2</v>
      </c>
      <c r="H58" s="403">
        <f t="shared" si="33"/>
        <v>9.112691131498471E-2</v>
      </c>
      <c r="I58" s="403">
        <f t="shared" si="33"/>
        <v>0.10570660881174899</v>
      </c>
      <c r="J58" s="403">
        <f t="shared" si="33"/>
        <v>0.12686249581799933</v>
      </c>
      <c r="K58" s="403">
        <f t="shared" si="33"/>
        <v>0.13129457364341085</v>
      </c>
      <c r="L58" s="404">
        <f t="shared" si="33"/>
        <v>0.13338780245276766</v>
      </c>
    </row>
    <row r="60" spans="4:25">
      <c r="D60" s="302" t="s">
        <v>1226</v>
      </c>
    </row>
    <row r="61" spans="4:25">
      <c r="D61" s="1319" t="s">
        <v>400</v>
      </c>
    </row>
    <row r="62" spans="4:25">
      <c r="D62" s="521" t="s">
        <v>656</v>
      </c>
      <c r="E62" s="523">
        <v>2018</v>
      </c>
      <c r="F62" s="527">
        <v>2019</v>
      </c>
      <c r="G62" s="527">
        <v>2020</v>
      </c>
      <c r="H62" s="537">
        <v>2021</v>
      </c>
      <c r="I62" s="528">
        <v>2022</v>
      </c>
      <c r="J62" s="528">
        <v>2023</v>
      </c>
      <c r="K62" s="528">
        <v>2024</v>
      </c>
      <c r="L62" s="529">
        <v>2025</v>
      </c>
    </row>
    <row r="63" spans="4:25" ht="20" customHeight="1">
      <c r="D63" s="530" t="s">
        <v>643</v>
      </c>
      <c r="E63" s="1244">
        <f t="shared" ref="E63:G66" si="34">E55*E39</f>
        <v>0.11572406018792676</v>
      </c>
      <c r="F63" s="1245">
        <f t="shared" si="34"/>
        <v>0.11551471494501581</v>
      </c>
      <c r="G63" s="1245">
        <f t="shared" si="34"/>
        <v>0.11521755385316049</v>
      </c>
      <c r="H63" s="1238">
        <f>N82</f>
        <v>0.12376774922773601</v>
      </c>
      <c r="I63" s="1121">
        <f>H63</f>
        <v>0.12376774922773601</v>
      </c>
      <c r="J63" s="1121">
        <f t="shared" ref="J63:L63" si="35">I63</f>
        <v>0.12376774922773601</v>
      </c>
      <c r="K63" s="1121">
        <f t="shared" si="35"/>
        <v>0.12376774922773601</v>
      </c>
      <c r="L63" s="1239">
        <f t="shared" si="35"/>
        <v>0.12376774922773601</v>
      </c>
      <c r="M63" s="1276"/>
      <c r="N63" s="1275"/>
      <c r="O63" s="462"/>
      <c r="P63" s="462"/>
      <c r="Q63" s="462"/>
      <c r="R63" s="462"/>
      <c r="S63" s="462"/>
      <c r="T63" s="462"/>
      <c r="U63" s="462"/>
      <c r="V63" s="462"/>
      <c r="W63" s="462"/>
      <c r="X63" s="462"/>
      <c r="Y63" s="462"/>
    </row>
    <row r="64" spans="4:25" ht="18.5" customHeight="1">
      <c r="D64" s="530" t="s">
        <v>644</v>
      </c>
      <c r="E64" s="1246">
        <f t="shared" si="34"/>
        <v>0.15129486597001363</v>
      </c>
      <c r="F64" s="532">
        <f t="shared" si="34"/>
        <v>0.15072211966554458</v>
      </c>
      <c r="G64" s="532">
        <f t="shared" si="34"/>
        <v>0.1520430107526882</v>
      </c>
      <c r="H64" s="538">
        <f>N83</f>
        <v>0.15316236939334948</v>
      </c>
      <c r="I64" s="539">
        <f>H64</f>
        <v>0.15316236939334948</v>
      </c>
      <c r="J64" s="539">
        <f>I64</f>
        <v>0.15316236939334948</v>
      </c>
      <c r="K64" s="539">
        <f t="shared" ref="K64:L64" si="36">J64</f>
        <v>0.15316236939334948</v>
      </c>
      <c r="L64" s="1122">
        <f t="shared" si="36"/>
        <v>0.15316236939334948</v>
      </c>
      <c r="M64" s="1276"/>
      <c r="N64" s="1275"/>
      <c r="O64" s="462"/>
      <c r="P64" s="462"/>
      <c r="Q64" s="462"/>
      <c r="R64" s="462"/>
      <c r="S64" s="462"/>
      <c r="T64" s="462"/>
      <c r="U64" s="462"/>
      <c r="V64" s="462"/>
      <c r="W64" s="462"/>
      <c r="X64" s="462"/>
      <c r="Y64" s="462"/>
    </row>
    <row r="65" spans="4:32" ht="19" customHeight="1">
      <c r="D65" s="520" t="s">
        <v>648</v>
      </c>
      <c r="E65" s="1246">
        <f t="shared" si="34"/>
        <v>1.0835018780699219E-2</v>
      </c>
      <c r="F65" s="532">
        <f t="shared" si="34"/>
        <v>1.2150246476428523E-2</v>
      </c>
      <c r="G65" s="532">
        <f t="shared" si="34"/>
        <v>1.1266812196324201E-2</v>
      </c>
      <c r="H65" s="538">
        <f>N84</f>
        <v>1.133187856513916E-2</v>
      </c>
      <c r="I65" s="539">
        <f>AVERAGE($F41:$G41)*I57</f>
        <v>1.0895220956157794E-2</v>
      </c>
      <c r="J65" s="539">
        <f>AVERAGE($F41:$G41)*J57</f>
        <v>1.056516311734094E-2</v>
      </c>
      <c r="K65" s="539">
        <f>J65</f>
        <v>1.056516311734094E-2</v>
      </c>
      <c r="L65" s="1122">
        <f>K65</f>
        <v>1.056516311734094E-2</v>
      </c>
      <c r="M65" s="1276"/>
      <c r="N65" s="1275"/>
      <c r="O65" s="462"/>
      <c r="P65" s="462"/>
      <c r="Q65" s="462"/>
      <c r="R65" s="462"/>
      <c r="S65" s="462"/>
      <c r="T65" s="462"/>
      <c r="U65" s="462"/>
      <c r="V65" s="462"/>
      <c r="W65" s="462"/>
      <c r="X65" s="462"/>
      <c r="Y65" s="462"/>
    </row>
    <row r="66" spans="4:32" ht="19" customHeight="1">
      <c r="D66" s="531" t="s">
        <v>645</v>
      </c>
      <c r="E66" s="1123">
        <f t="shared" si="34"/>
        <v>9.4075079149706017E-2</v>
      </c>
      <c r="F66" s="401">
        <f t="shared" si="34"/>
        <v>9.7637093178778417E-2</v>
      </c>
      <c r="G66" s="401">
        <f t="shared" si="34"/>
        <v>9.2705882352941166E-2</v>
      </c>
      <c r="H66" s="402">
        <f>M85</f>
        <v>0.11817745803357314</v>
      </c>
      <c r="I66" s="403">
        <f>N85</f>
        <v>0.11238852826749134</v>
      </c>
      <c r="J66" s="403">
        <f>I66</f>
        <v>0.11238852826749134</v>
      </c>
      <c r="K66" s="403">
        <f>J66</f>
        <v>0.11238852826749134</v>
      </c>
      <c r="L66" s="404">
        <f>K66</f>
        <v>0.11238852826749134</v>
      </c>
      <c r="M66" s="1276"/>
      <c r="N66" s="1275"/>
      <c r="O66" s="462"/>
      <c r="P66" s="462"/>
      <c r="Q66" s="462"/>
      <c r="R66" s="462"/>
      <c r="S66" s="462"/>
      <c r="T66" s="462"/>
      <c r="U66" s="462"/>
      <c r="V66" s="462"/>
      <c r="W66" s="462"/>
      <c r="X66" s="462"/>
      <c r="Y66" s="462"/>
    </row>
    <row r="67" spans="4:32">
      <c r="E67" s="1129"/>
      <c r="F67" s="1129"/>
      <c r="G67" s="1129"/>
      <c r="H67" s="1129"/>
      <c r="I67" s="1129"/>
      <c r="J67" s="1129"/>
      <c r="K67" s="1129"/>
      <c r="L67" s="1129"/>
    </row>
    <row r="68" spans="4:32">
      <c r="D68" s="1318" t="s">
        <v>401</v>
      </c>
      <c r="E68" s="462"/>
      <c r="F68" s="462"/>
      <c r="G68" s="462"/>
      <c r="H68" s="462"/>
      <c r="I68" s="462"/>
      <c r="J68" s="462"/>
      <c r="K68" s="462"/>
      <c r="L68" s="532"/>
      <c r="M68" s="462"/>
      <c r="N68" s="462"/>
      <c r="O68" s="462"/>
      <c r="P68" s="462"/>
      <c r="Q68" s="462"/>
      <c r="R68" s="462"/>
      <c r="S68" s="462"/>
      <c r="T68" s="462"/>
      <c r="U68" s="462"/>
      <c r="V68" s="462"/>
      <c r="W68" s="462"/>
      <c r="X68" s="462"/>
      <c r="Y68" s="462"/>
    </row>
    <row r="69" spans="4:32" ht="14.5" customHeight="1">
      <c r="D69" s="1486" t="s">
        <v>1236</v>
      </c>
      <c r="E69" s="1487"/>
      <c r="F69" s="1426">
        <v>2019</v>
      </c>
      <c r="G69" s="1426"/>
      <c r="H69" s="1383"/>
      <c r="I69" s="1373">
        <v>2020</v>
      </c>
      <c r="J69" s="1426"/>
      <c r="K69" s="1426"/>
      <c r="L69" s="1383"/>
      <c r="M69" s="1373">
        <v>2021</v>
      </c>
      <c r="N69" s="1383"/>
      <c r="O69" s="1396">
        <v>2021</v>
      </c>
      <c r="P69" s="1385"/>
      <c r="Q69" s="1396">
        <v>2022</v>
      </c>
      <c r="R69" s="1401"/>
      <c r="S69" s="1401"/>
      <c r="T69" s="1401"/>
      <c r="U69" s="1396">
        <v>2023</v>
      </c>
      <c r="V69" s="1401"/>
      <c r="W69" s="1401"/>
      <c r="X69" s="1401"/>
      <c r="Y69" s="1396">
        <v>2024</v>
      </c>
      <c r="Z69" s="1401"/>
      <c r="AA69" s="1401"/>
      <c r="AB69" s="1385"/>
      <c r="AC69" s="475">
        <v>2025</v>
      </c>
    </row>
    <row r="70" spans="4:32">
      <c r="D70" s="1488"/>
      <c r="E70" s="1489"/>
      <c r="F70" s="200" t="s">
        <v>136</v>
      </c>
      <c r="G70" s="200" t="s">
        <v>137</v>
      </c>
      <c r="H70" s="1277" t="s">
        <v>138</v>
      </c>
      <c r="I70" s="201" t="s">
        <v>135</v>
      </c>
      <c r="J70" s="201" t="s">
        <v>136</v>
      </c>
      <c r="K70" s="201" t="s">
        <v>137</v>
      </c>
      <c r="L70" s="1277" t="s">
        <v>138</v>
      </c>
      <c r="M70" s="216" t="s">
        <v>135</v>
      </c>
      <c r="N70" s="1277" t="s">
        <v>136</v>
      </c>
      <c r="O70" s="891" t="s">
        <v>137</v>
      </c>
      <c r="P70" s="893" t="s">
        <v>138</v>
      </c>
      <c r="Q70" s="891" t="s">
        <v>135</v>
      </c>
      <c r="R70" s="892" t="s">
        <v>136</v>
      </c>
      <c r="S70" s="892" t="s">
        <v>137</v>
      </c>
      <c r="T70" s="892" t="s">
        <v>138</v>
      </c>
      <c r="U70" s="891" t="s">
        <v>135</v>
      </c>
      <c r="V70" s="892" t="s">
        <v>136</v>
      </c>
      <c r="W70" s="892" t="s">
        <v>137</v>
      </c>
      <c r="X70" s="892" t="s">
        <v>138</v>
      </c>
      <c r="Y70" s="891" t="s">
        <v>135</v>
      </c>
      <c r="Z70" s="577" t="s">
        <v>136</v>
      </c>
      <c r="AA70" s="892" t="s">
        <v>137</v>
      </c>
      <c r="AB70" s="893" t="s">
        <v>138</v>
      </c>
      <c r="AC70" s="82" t="s">
        <v>135</v>
      </c>
    </row>
    <row r="71" spans="4:32">
      <c r="D71" s="1281" t="s">
        <v>1220</v>
      </c>
      <c r="E71" s="887"/>
      <c r="F71" s="1278">
        <f>F72+F73</f>
        <v>14660.3</v>
      </c>
      <c r="G71" s="1279">
        <f t="shared" ref="G71:AC71" si="37">G72+G73</f>
        <v>14748</v>
      </c>
      <c r="H71" s="1279">
        <f t="shared" si="37"/>
        <v>14896.1</v>
      </c>
      <c r="I71" s="1279">
        <f t="shared" si="37"/>
        <v>15018.7</v>
      </c>
      <c r="J71" s="1279">
        <f t="shared" si="37"/>
        <v>14127</v>
      </c>
      <c r="K71" s="1279">
        <f t="shared" si="37"/>
        <v>14803.099999999999</v>
      </c>
      <c r="L71" s="1279">
        <f t="shared" si="37"/>
        <v>15014.2</v>
      </c>
      <c r="M71" s="1279">
        <f t="shared" si="37"/>
        <v>15152.900000000001</v>
      </c>
      <c r="N71" s="1280">
        <f t="shared" si="37"/>
        <v>15654.4</v>
      </c>
      <c r="O71" s="1295">
        <f t="shared" si="37"/>
        <v>15799.3</v>
      </c>
      <c r="P71" s="1295">
        <f t="shared" si="37"/>
        <v>15983.8</v>
      </c>
      <c r="Q71" s="1295">
        <f t="shared" si="37"/>
        <v>16211.099999999999</v>
      </c>
      <c r="R71" s="1295">
        <f t="shared" si="37"/>
        <v>16437.099999999999</v>
      </c>
      <c r="S71" s="1295">
        <f t="shared" si="37"/>
        <v>16644.8</v>
      </c>
      <c r="T71" s="1295">
        <f t="shared" si="37"/>
        <v>16837.7</v>
      </c>
      <c r="U71" s="1295">
        <f t="shared" si="37"/>
        <v>17019.599999999999</v>
      </c>
      <c r="V71" s="1295">
        <f t="shared" si="37"/>
        <v>17196</v>
      </c>
      <c r="W71" s="1295">
        <f t="shared" si="37"/>
        <v>17367.2</v>
      </c>
      <c r="X71" s="1295">
        <f t="shared" si="37"/>
        <v>17530.099999999999</v>
      </c>
      <c r="Y71" s="1295">
        <f t="shared" si="37"/>
        <v>17691.900000000001</v>
      </c>
      <c r="Z71" s="1295">
        <f t="shared" si="37"/>
        <v>17844.8</v>
      </c>
      <c r="AA71" s="1295">
        <f t="shared" si="37"/>
        <v>18007.400000000001</v>
      </c>
      <c r="AB71" s="1295">
        <f t="shared" si="37"/>
        <v>18172.900000000001</v>
      </c>
      <c r="AC71" s="1296">
        <f t="shared" si="37"/>
        <v>18346.099999999999</v>
      </c>
    </row>
    <row r="72" spans="4:32" ht="30">
      <c r="D72" s="167" t="s">
        <v>1228</v>
      </c>
      <c r="E72" s="886" t="s">
        <v>1230</v>
      </c>
      <c r="F72" s="1001">
        <v>9274.9</v>
      </c>
      <c r="G72" s="654">
        <v>9311.2999999999993</v>
      </c>
      <c r="H72" s="654">
        <v>9422.5</v>
      </c>
      <c r="I72" s="654">
        <v>9526.1</v>
      </c>
      <c r="J72" s="654">
        <v>8908.7999999999993</v>
      </c>
      <c r="K72" s="654">
        <v>9343.2999999999993</v>
      </c>
      <c r="L72" s="654">
        <v>9546</v>
      </c>
      <c r="M72" s="654">
        <v>9702.2000000000007</v>
      </c>
      <c r="N72" s="1299">
        <v>9950.4</v>
      </c>
      <c r="O72" s="505">
        <v>10175.1</v>
      </c>
      <c r="P72" s="505">
        <v>10336.6</v>
      </c>
      <c r="Q72" s="505">
        <v>10484.299999999999</v>
      </c>
      <c r="R72" s="505">
        <v>10614</v>
      </c>
      <c r="S72" s="505">
        <v>10730.6</v>
      </c>
      <c r="T72" s="505">
        <v>10841</v>
      </c>
      <c r="U72" s="505">
        <v>10942.9</v>
      </c>
      <c r="V72" s="505">
        <v>11042.2</v>
      </c>
      <c r="W72" s="505">
        <v>11143.2</v>
      </c>
      <c r="X72" s="505">
        <v>11246.1</v>
      </c>
      <c r="Y72" s="505">
        <v>11342.3</v>
      </c>
      <c r="Z72" s="505">
        <v>11443.3</v>
      </c>
      <c r="AA72" s="505">
        <v>11546.8</v>
      </c>
      <c r="AB72" s="505">
        <v>11648.9</v>
      </c>
      <c r="AC72" s="1141">
        <v>11751.1</v>
      </c>
    </row>
    <row r="73" spans="4:32" ht="30">
      <c r="D73" s="167" t="s">
        <v>1229</v>
      </c>
      <c r="E73" s="886"/>
      <c r="F73" s="1001">
        <v>5385.4</v>
      </c>
      <c r="G73" s="654">
        <v>5436.7</v>
      </c>
      <c r="H73" s="654">
        <v>5473.6</v>
      </c>
      <c r="I73" s="654">
        <v>5492.6</v>
      </c>
      <c r="J73" s="654">
        <v>5218.2</v>
      </c>
      <c r="K73" s="654">
        <v>5459.8</v>
      </c>
      <c r="L73" s="654">
        <v>5468.2</v>
      </c>
      <c r="M73" s="654">
        <v>5450.7</v>
      </c>
      <c r="N73" s="1299">
        <v>5704</v>
      </c>
      <c r="O73" s="505">
        <v>5624.2</v>
      </c>
      <c r="P73" s="505">
        <v>5647.2</v>
      </c>
      <c r="Q73" s="505">
        <v>5726.8</v>
      </c>
      <c r="R73" s="505">
        <v>5823.1</v>
      </c>
      <c r="S73" s="505">
        <v>5914.2</v>
      </c>
      <c r="T73" s="505">
        <v>5996.7</v>
      </c>
      <c r="U73" s="505">
        <v>6076.7</v>
      </c>
      <c r="V73" s="505">
        <v>6153.8</v>
      </c>
      <c r="W73" s="505">
        <v>6224</v>
      </c>
      <c r="X73" s="505">
        <v>6284</v>
      </c>
      <c r="Y73" s="505">
        <v>6349.6</v>
      </c>
      <c r="Z73" s="505">
        <v>6401.5</v>
      </c>
      <c r="AA73" s="505">
        <v>6460.6</v>
      </c>
      <c r="AB73" s="505">
        <v>6524</v>
      </c>
      <c r="AC73" s="1141">
        <v>6595</v>
      </c>
    </row>
    <row r="74" spans="4:32" s="57" customFormat="1">
      <c r="D74" s="217" t="s">
        <v>1223</v>
      </c>
      <c r="E74" s="886"/>
      <c r="F74" s="1282"/>
      <c r="G74" s="1283"/>
      <c r="H74" s="1284"/>
      <c r="I74" s="1284"/>
      <c r="J74" s="1284"/>
      <c r="K74" s="1284"/>
      <c r="L74" s="654"/>
      <c r="M74" s="654">
        <v>9702</v>
      </c>
      <c r="N74" s="1299">
        <v>9950</v>
      </c>
      <c r="O74" s="505">
        <v>10175</v>
      </c>
      <c r="P74" s="505">
        <v>10337</v>
      </c>
      <c r="Q74" s="505">
        <v>10484</v>
      </c>
      <c r="R74" s="505">
        <v>10614</v>
      </c>
      <c r="S74" s="505">
        <v>10731</v>
      </c>
      <c r="T74" s="505">
        <v>10841</v>
      </c>
      <c r="U74" s="505">
        <v>10943</v>
      </c>
      <c r="V74" s="505">
        <v>11042</v>
      </c>
      <c r="W74" s="505">
        <v>11143</v>
      </c>
      <c r="X74" s="505">
        <v>11246</v>
      </c>
      <c r="Y74" s="505">
        <v>11342.3</v>
      </c>
      <c r="Z74" s="505">
        <v>11443.3</v>
      </c>
      <c r="AA74" s="505">
        <v>11546.8</v>
      </c>
      <c r="AB74" s="505">
        <v>11648.9</v>
      </c>
      <c r="AC74" s="1141">
        <v>11751.1</v>
      </c>
    </row>
    <row r="75" spans="4:32" s="57" customFormat="1">
      <c r="D75" s="217" t="s">
        <v>1224</v>
      </c>
      <c r="E75" s="1285"/>
      <c r="F75" s="1286"/>
      <c r="G75" s="1287"/>
      <c r="H75" s="1284"/>
      <c r="I75" s="1284"/>
      <c r="J75" s="1284"/>
      <c r="K75" s="1284"/>
      <c r="L75" s="1284"/>
      <c r="M75" s="1284">
        <v>15041</v>
      </c>
      <c r="N75" s="1300">
        <v>15551</v>
      </c>
      <c r="O75" s="1297">
        <v>15824</v>
      </c>
      <c r="P75" s="1297">
        <v>16056</v>
      </c>
      <c r="Q75" s="1297">
        <v>16274</v>
      </c>
      <c r="R75" s="1297">
        <v>16482</v>
      </c>
      <c r="S75" s="1297">
        <v>16710</v>
      </c>
      <c r="T75" s="1297">
        <v>16918</v>
      </c>
      <c r="U75" s="1297">
        <v>17101</v>
      </c>
      <c r="V75" s="1297">
        <v>17272</v>
      </c>
      <c r="W75" s="1297">
        <v>17444</v>
      </c>
      <c r="X75" s="1297">
        <v>17607</v>
      </c>
      <c r="Y75" s="1297">
        <v>17759.900000000001</v>
      </c>
      <c r="Z75" s="505">
        <v>17916</v>
      </c>
      <c r="AA75" s="505">
        <v>18077.7</v>
      </c>
      <c r="AB75" s="505">
        <v>18228.400000000001</v>
      </c>
      <c r="AC75" s="1141">
        <v>18390.5</v>
      </c>
    </row>
    <row r="76" spans="4:32" s="57" customFormat="1">
      <c r="D76" s="1288" t="s">
        <v>1227</v>
      </c>
      <c r="E76" s="1289"/>
      <c r="F76" s="1290"/>
      <c r="G76" s="1291"/>
      <c r="H76" s="1292"/>
      <c r="I76" s="1292"/>
      <c r="J76" s="1292"/>
      <c r="K76" s="1292"/>
      <c r="L76" s="1293"/>
      <c r="M76" s="1293">
        <v>2374</v>
      </c>
      <c r="N76" s="1301">
        <v>2822</v>
      </c>
      <c r="O76" s="1074">
        <v>2975</v>
      </c>
      <c r="P76" s="1074">
        <v>3009</v>
      </c>
      <c r="Q76" s="1074">
        <v>2954</v>
      </c>
      <c r="R76" s="1074">
        <v>3005</v>
      </c>
      <c r="S76" s="1074">
        <v>3019</v>
      </c>
      <c r="T76" s="1074">
        <v>3017</v>
      </c>
      <c r="U76" s="1074">
        <v>3002</v>
      </c>
      <c r="V76" s="1074">
        <v>2976</v>
      </c>
      <c r="W76" s="1074">
        <v>2960</v>
      </c>
      <c r="X76" s="1074">
        <v>2960</v>
      </c>
      <c r="Y76" s="1074">
        <v>2955.6</v>
      </c>
      <c r="Z76" s="1074">
        <v>2970.1</v>
      </c>
      <c r="AA76" s="1074">
        <v>2982.4</v>
      </c>
      <c r="AB76" s="1074">
        <v>2999.3</v>
      </c>
      <c r="AC76" s="1298">
        <v>3007.4</v>
      </c>
    </row>
    <row r="77" spans="4:32" s="57" customFormat="1">
      <c r="D77" s="1307"/>
      <c r="E77" s="1317"/>
      <c r="F77" s="1287"/>
      <c r="G77" s="1287"/>
      <c r="H77" s="1284"/>
      <c r="I77" s="1284"/>
      <c r="J77" s="1284"/>
      <c r="K77" s="1284"/>
      <c r="L77" s="654"/>
      <c r="M77" s="654"/>
      <c r="N77" s="654"/>
      <c r="O77" s="654"/>
      <c r="P77" s="654"/>
      <c r="Q77" s="654"/>
      <c r="R77" s="654"/>
      <c r="S77" s="654"/>
      <c r="T77" s="654"/>
      <c r="U77" s="654"/>
      <c r="V77" s="654"/>
      <c r="W77" s="654"/>
      <c r="X77" s="654"/>
      <c r="Y77" s="654"/>
      <c r="Z77" s="654"/>
      <c r="AA77" s="654"/>
      <c r="AB77" s="654"/>
      <c r="AC77" s="654"/>
    </row>
    <row r="78" spans="4:32">
      <c r="D78" s="57"/>
      <c r="O78" s="120"/>
      <c r="P78" s="120"/>
      <c r="Q78" s="120"/>
      <c r="R78" s="120"/>
      <c r="S78" s="120"/>
      <c r="T78" s="120"/>
      <c r="U78" s="120"/>
      <c r="V78" s="120"/>
      <c r="W78" s="120"/>
      <c r="X78" s="120"/>
      <c r="Y78" s="120"/>
      <c r="Z78" s="120"/>
      <c r="AA78" s="120"/>
      <c r="AB78" s="120"/>
      <c r="AC78" s="120"/>
    </row>
    <row r="79" spans="4:32" ht="14.5" customHeight="1">
      <c r="D79" s="1486" t="s">
        <v>1233</v>
      </c>
      <c r="E79" s="1487"/>
      <c r="F79" s="1426">
        <v>2019</v>
      </c>
      <c r="G79" s="1426"/>
      <c r="H79" s="1383"/>
      <c r="I79" s="1373">
        <v>2020</v>
      </c>
      <c r="J79" s="1426"/>
      <c r="K79" s="1426"/>
      <c r="L79" s="1383"/>
      <c r="M79" s="1373">
        <v>2021</v>
      </c>
      <c r="N79" s="1383"/>
      <c r="O79" s="1396">
        <v>2021</v>
      </c>
      <c r="P79" s="1385"/>
      <c r="Q79" s="1396">
        <v>2022</v>
      </c>
      <c r="R79" s="1401"/>
      <c r="S79" s="1401"/>
      <c r="T79" s="1401"/>
      <c r="U79" s="1396">
        <v>2023</v>
      </c>
      <c r="V79" s="1401"/>
      <c r="W79" s="1401"/>
      <c r="X79" s="1401"/>
      <c r="Y79" s="1396">
        <v>2024</v>
      </c>
      <c r="Z79" s="1401"/>
      <c r="AA79" s="1401"/>
      <c r="AB79" s="1385"/>
      <c r="AC79" s="475">
        <v>2025</v>
      </c>
      <c r="AD79" s="58"/>
      <c r="AE79" s="58"/>
      <c r="AF79" s="58"/>
    </row>
    <row r="80" spans="4:32">
      <c r="D80" s="1493"/>
      <c r="E80" s="1494"/>
      <c r="F80" s="200" t="s">
        <v>136</v>
      </c>
      <c r="G80" s="200" t="s">
        <v>137</v>
      </c>
      <c r="H80" s="1277" t="s">
        <v>138</v>
      </c>
      <c r="I80" s="201" t="s">
        <v>135</v>
      </c>
      <c r="J80" s="201" t="s">
        <v>136</v>
      </c>
      <c r="K80" s="201" t="s">
        <v>137</v>
      </c>
      <c r="L80" s="1277" t="s">
        <v>138</v>
      </c>
      <c r="M80" s="216" t="s">
        <v>135</v>
      </c>
      <c r="N80" s="1277" t="s">
        <v>136</v>
      </c>
      <c r="O80" s="64" t="s">
        <v>137</v>
      </c>
      <c r="P80" s="66" t="s">
        <v>138</v>
      </c>
      <c r="Q80" s="64" t="s">
        <v>135</v>
      </c>
      <c r="R80" s="65" t="s">
        <v>136</v>
      </c>
      <c r="S80" s="65" t="s">
        <v>137</v>
      </c>
      <c r="T80" s="65" t="s">
        <v>138</v>
      </c>
      <c r="U80" s="64" t="s">
        <v>135</v>
      </c>
      <c r="V80" s="65" t="s">
        <v>136</v>
      </c>
      <c r="W80" s="65" t="s">
        <v>137</v>
      </c>
      <c r="X80" s="65" t="s">
        <v>138</v>
      </c>
      <c r="Y80" s="64" t="s">
        <v>135</v>
      </c>
      <c r="Z80" s="698" t="s">
        <v>136</v>
      </c>
      <c r="AA80" s="65" t="s">
        <v>137</v>
      </c>
      <c r="AB80" s="66" t="s">
        <v>138</v>
      </c>
      <c r="AC80" s="67" t="s">
        <v>135</v>
      </c>
    </row>
    <row r="81" spans="4:30">
      <c r="D81" s="1491" t="s">
        <v>1232</v>
      </c>
      <c r="E81" s="1492"/>
      <c r="F81" s="1304"/>
      <c r="G81" s="1304"/>
      <c r="H81" s="1305"/>
      <c r="I81" s="1305"/>
      <c r="J81" s="1305"/>
      <c r="K81" s="1305"/>
      <c r="L81" s="1305"/>
      <c r="M81" s="1305"/>
      <c r="N81" s="1306"/>
      <c r="O81" s="1171"/>
      <c r="P81" s="1172"/>
      <c r="Q81" s="1172"/>
      <c r="R81" s="1172"/>
      <c r="S81" s="1172"/>
      <c r="T81" s="1172"/>
      <c r="U81" s="1172"/>
      <c r="V81" s="1172"/>
      <c r="W81" s="1172"/>
      <c r="X81" s="1172"/>
      <c r="Y81" s="1172"/>
      <c r="Z81" s="1172"/>
      <c r="AA81" s="1172"/>
      <c r="AB81" s="1172"/>
      <c r="AC81" s="1170"/>
    </row>
    <row r="82" spans="4:30">
      <c r="D82" s="195" t="s">
        <v>575</v>
      </c>
      <c r="E82" s="1302"/>
      <c r="F82" s="406"/>
      <c r="G82" s="406"/>
      <c r="H82" s="406">
        <f t="shared" ref="H82:N82" si="38">H10/H87</f>
        <v>0.11700680272108843</v>
      </c>
      <c r="I82" s="406">
        <f t="shared" si="38"/>
        <v>0.11639541892706451</v>
      </c>
      <c r="J82" s="406">
        <f t="shared" si="38"/>
        <v>0.11239828008954905</v>
      </c>
      <c r="K82" s="406">
        <f t="shared" si="38"/>
        <v>0.11278940368591048</v>
      </c>
      <c r="L82" s="406">
        <f t="shared" si="38"/>
        <v>0.11477868971624176</v>
      </c>
      <c r="M82" s="406">
        <f t="shared" si="38"/>
        <v>0.12176423015471204</v>
      </c>
      <c r="N82" s="1303">
        <f t="shared" si="38"/>
        <v>0.12376774922773601</v>
      </c>
      <c r="O82" s="1176"/>
      <c r="P82" s="1177"/>
      <c r="Q82" s="1177"/>
      <c r="R82" s="1177"/>
      <c r="S82" s="1177"/>
      <c r="T82" s="1177"/>
      <c r="U82" s="1177"/>
      <c r="V82" s="1177"/>
      <c r="W82" s="1177"/>
      <c r="X82" s="1177"/>
      <c r="Y82" s="1177"/>
      <c r="Z82" s="1177"/>
      <c r="AA82" s="1177"/>
      <c r="AB82" s="1177"/>
      <c r="AC82" s="1178"/>
    </row>
    <row r="83" spans="4:30">
      <c r="D83" s="195" t="s">
        <v>574</v>
      </c>
      <c r="E83" s="1302"/>
      <c r="F83" s="406"/>
      <c r="G83" s="406"/>
      <c r="H83" s="406">
        <f t="shared" ref="H83:N84" si="39">H11/H92</f>
        <v>0.15069303583502366</v>
      </c>
      <c r="I83" s="406">
        <f t="shared" si="39"/>
        <v>0.15171645443092011</v>
      </c>
      <c r="J83" s="406">
        <f t="shared" si="39"/>
        <v>0.1549838512083751</v>
      </c>
      <c r="K83" s="406">
        <f t="shared" si="39"/>
        <v>0.15342762717447903</v>
      </c>
      <c r="L83" s="406">
        <f t="shared" si="39"/>
        <v>0.15189614637636717</v>
      </c>
      <c r="M83" s="406">
        <f t="shared" si="39"/>
        <v>0.15364604421410641</v>
      </c>
      <c r="N83" s="1303">
        <f t="shared" si="39"/>
        <v>0.15316236939334948</v>
      </c>
      <c r="O83" s="1176"/>
      <c r="P83" s="1177"/>
      <c r="Q83" s="1177"/>
      <c r="R83" s="1177"/>
      <c r="S83" s="1177"/>
      <c r="T83" s="1177"/>
      <c r="U83" s="1177"/>
      <c r="V83" s="1177"/>
      <c r="W83" s="1177"/>
      <c r="X83" s="1177"/>
      <c r="Y83" s="1177"/>
      <c r="Z83" s="1177"/>
      <c r="AA83" s="1177"/>
      <c r="AB83" s="1177"/>
      <c r="AC83" s="1178"/>
    </row>
    <row r="84" spans="4:30">
      <c r="D84" s="195" t="s">
        <v>572</v>
      </c>
      <c r="E84" s="1302"/>
      <c r="F84" s="406"/>
      <c r="G84" s="406"/>
      <c r="H84" s="406">
        <f t="shared" si="39"/>
        <v>1.2140112870976327E-2</v>
      </c>
      <c r="I84" s="406">
        <f t="shared" si="39"/>
        <v>1.2867838023145487E-2</v>
      </c>
      <c r="J84" s="406">
        <f t="shared" si="39"/>
        <v>1.0646897156978221E-2</v>
      </c>
      <c r="K84" s="406">
        <f t="shared" si="39"/>
        <v>1.0585008884971108E-2</v>
      </c>
      <c r="L84" s="406">
        <f t="shared" si="39"/>
        <v>1.0824186458016532E-2</v>
      </c>
      <c r="M84" s="406">
        <f t="shared" si="39"/>
        <v>1.1076012635451236E-2</v>
      </c>
      <c r="N84" s="1303">
        <f t="shared" si="39"/>
        <v>1.133187856513916E-2</v>
      </c>
      <c r="O84" s="1176"/>
      <c r="P84" s="1177"/>
      <c r="Q84" s="1177"/>
      <c r="R84" s="1177"/>
      <c r="S84" s="1177"/>
      <c r="T84" s="1177"/>
      <c r="U84" s="1177"/>
      <c r="V84" s="1177"/>
      <c r="W84" s="1177"/>
      <c r="X84" s="1177"/>
      <c r="Y84" s="1177"/>
      <c r="Z84" s="1177"/>
      <c r="AA84" s="1177"/>
      <c r="AB84" s="1177"/>
      <c r="AC84" s="1178"/>
    </row>
    <row r="85" spans="4:30" ht="15">
      <c r="D85" s="112" t="s">
        <v>642</v>
      </c>
      <c r="E85" s="1302"/>
      <c r="F85" s="406"/>
      <c r="G85" s="406"/>
      <c r="H85" s="406">
        <f t="shared" ref="H85:M85" si="40">H13/H94</f>
        <v>0.12172540768016833</v>
      </c>
      <c r="I85" s="406">
        <f t="shared" si="40"/>
        <v>9.8615712257453844E-2</v>
      </c>
      <c r="J85" s="406">
        <f t="shared" si="40"/>
        <v>0.10910512937495927</v>
      </c>
      <c r="K85" s="406">
        <f t="shared" si="40"/>
        <v>0.10686521958606764</v>
      </c>
      <c r="L85" s="406">
        <f t="shared" si="40"/>
        <v>0.11540630607536528</v>
      </c>
      <c r="M85" s="406">
        <f t="shared" si="40"/>
        <v>0.11817745803357314</v>
      </c>
      <c r="N85" s="1303">
        <f>AVERAGE(J85:M85)</f>
        <v>0.11238852826749134</v>
      </c>
      <c r="O85" s="1176"/>
      <c r="P85" s="1177"/>
      <c r="Q85" s="1177"/>
      <c r="R85" s="1177"/>
      <c r="S85" s="1177"/>
      <c r="T85" s="1177"/>
      <c r="U85" s="1177"/>
      <c r="V85" s="1177"/>
      <c r="W85" s="1177"/>
      <c r="X85" s="1177"/>
      <c r="Y85" s="1177"/>
      <c r="Z85" s="1177"/>
      <c r="AA85" s="1177"/>
      <c r="AB85" s="1177"/>
      <c r="AC85" s="1178"/>
    </row>
    <row r="86" spans="4:30">
      <c r="D86" s="885" t="s">
        <v>1235</v>
      </c>
      <c r="E86" s="1302"/>
      <c r="F86" s="48"/>
      <c r="G86" s="48"/>
      <c r="H86" s="48"/>
      <c r="I86" s="48"/>
      <c r="J86" s="48"/>
      <c r="K86" s="48"/>
      <c r="L86" s="48"/>
      <c r="M86" s="48"/>
      <c r="N86" s="1308"/>
      <c r="O86" s="1176"/>
      <c r="P86" s="1177"/>
      <c r="Q86" s="1177"/>
      <c r="R86" s="1177"/>
      <c r="S86" s="1177"/>
      <c r="T86" s="1177"/>
      <c r="U86" s="1177"/>
      <c r="V86" s="1177"/>
      <c r="W86" s="1177"/>
      <c r="X86" s="1177"/>
      <c r="Y86" s="1177"/>
      <c r="Z86" s="1177"/>
      <c r="AA86" s="1177"/>
      <c r="AB86" s="1177"/>
      <c r="AC86" s="1178"/>
    </row>
    <row r="87" spans="4:30">
      <c r="D87" s="217" t="s">
        <v>1185</v>
      </c>
      <c r="E87" s="1302"/>
      <c r="F87" s="1329">
        <f>SUM(F88:F91)</f>
        <v>14511.699999999999</v>
      </c>
      <c r="G87" s="1329">
        <f t="shared" ref="G87:N87" si="41">SUM(G88:G91)</f>
        <v>14602.099999999999</v>
      </c>
      <c r="H87" s="1329">
        <f t="shared" si="41"/>
        <v>14773.5</v>
      </c>
      <c r="I87" s="1329">
        <f t="shared" si="41"/>
        <v>14931</v>
      </c>
      <c r="J87" s="1329">
        <f t="shared" si="41"/>
        <v>14070.5</v>
      </c>
      <c r="K87" s="1329">
        <f t="shared" si="41"/>
        <v>14737.2</v>
      </c>
      <c r="L87" s="1329">
        <f t="shared" si="41"/>
        <v>15132.6</v>
      </c>
      <c r="M87" s="1329">
        <f t="shared" si="41"/>
        <v>15208.900000000001</v>
      </c>
      <c r="N87" s="1330">
        <f t="shared" si="41"/>
        <v>15571.099999999999</v>
      </c>
      <c r="O87" s="1176"/>
      <c r="P87" s="1177"/>
      <c r="Q87" s="1177"/>
      <c r="R87" s="1177"/>
      <c r="S87" s="1177"/>
      <c r="T87" s="1177"/>
      <c r="U87" s="1177"/>
      <c r="V87" s="1177"/>
      <c r="W87" s="1177"/>
      <c r="X87" s="1177"/>
      <c r="Y87" s="1177"/>
      <c r="Z87" s="1177"/>
      <c r="AA87" s="1177"/>
      <c r="AB87" s="1177"/>
      <c r="AC87" s="1178"/>
    </row>
    <row r="88" spans="4:30">
      <c r="D88" s="1294" t="s">
        <v>1181</v>
      </c>
      <c r="E88" s="1302" t="s">
        <v>1238</v>
      </c>
      <c r="F88" s="426">
        <v>9275.4</v>
      </c>
      <c r="G88" s="426">
        <v>9326.7999999999993</v>
      </c>
      <c r="H88" s="426">
        <v>9465.6</v>
      </c>
      <c r="I88" s="426">
        <v>9604.1</v>
      </c>
      <c r="J88" s="426">
        <v>8979</v>
      </c>
      <c r="K88" s="426">
        <v>9410.2999999999993</v>
      </c>
      <c r="L88" s="426">
        <v>9783</v>
      </c>
      <c r="M88" s="426">
        <v>9879.2000000000007</v>
      </c>
      <c r="N88" s="1219">
        <v>10068.4</v>
      </c>
      <c r="O88" s="1176"/>
      <c r="P88" s="1177"/>
      <c r="Q88" s="1177"/>
      <c r="R88" s="1177"/>
      <c r="S88" s="1177"/>
      <c r="T88" s="1177"/>
      <c r="U88" s="1177"/>
      <c r="V88" s="1177"/>
      <c r="W88" s="1177"/>
      <c r="X88" s="1177"/>
      <c r="Y88" s="1177"/>
      <c r="Z88" s="1177"/>
      <c r="AA88" s="1177"/>
      <c r="AB88" s="1177"/>
      <c r="AC88" s="1178"/>
    </row>
    <row r="89" spans="4:30">
      <c r="D89" s="1294" t="s">
        <v>1182</v>
      </c>
      <c r="E89" s="1302"/>
      <c r="F89" s="426">
        <v>1572.8</v>
      </c>
      <c r="G89" s="426">
        <v>1610.6</v>
      </c>
      <c r="H89" s="426">
        <v>1626.8</v>
      </c>
      <c r="I89" s="426">
        <v>1638.3</v>
      </c>
      <c r="J89" s="426">
        <v>1471.1</v>
      </c>
      <c r="K89" s="426">
        <v>1760.7</v>
      </c>
      <c r="L89" s="426">
        <v>1730</v>
      </c>
      <c r="M89" s="426">
        <v>1714</v>
      </c>
      <c r="N89" s="1219">
        <v>1846.9</v>
      </c>
      <c r="O89" s="1176"/>
      <c r="P89" s="1177"/>
      <c r="Q89" s="1177"/>
      <c r="R89" s="1177"/>
      <c r="S89" s="1177"/>
      <c r="T89" s="1177"/>
      <c r="U89" s="1177"/>
      <c r="V89" s="1177"/>
      <c r="W89" s="1177"/>
      <c r="X89" s="1177"/>
      <c r="Y89" s="1177"/>
      <c r="Z89" s="1177"/>
      <c r="AA89" s="1177"/>
      <c r="AB89" s="1177"/>
      <c r="AC89" s="1178"/>
    </row>
    <row r="90" spans="4:30">
      <c r="D90" s="1294" t="s">
        <v>1183</v>
      </c>
      <c r="E90" s="1302"/>
      <c r="F90" s="426">
        <v>691</v>
      </c>
      <c r="G90" s="426">
        <v>691.5</v>
      </c>
      <c r="H90" s="426">
        <v>699</v>
      </c>
      <c r="I90" s="426">
        <v>712.2</v>
      </c>
      <c r="J90" s="426">
        <v>709.5</v>
      </c>
      <c r="K90" s="426">
        <v>714.5</v>
      </c>
      <c r="L90" s="426">
        <v>710</v>
      </c>
      <c r="M90" s="426">
        <v>716.9</v>
      </c>
      <c r="N90" s="1219">
        <v>719</v>
      </c>
      <c r="O90" s="1176"/>
      <c r="P90" s="1177"/>
      <c r="Q90" s="1177"/>
      <c r="R90" s="1177"/>
      <c r="S90" s="1177"/>
      <c r="T90" s="1177"/>
      <c r="U90" s="1177"/>
      <c r="V90" s="1177"/>
      <c r="W90" s="1177"/>
      <c r="X90" s="1177"/>
      <c r="Y90" s="1177"/>
      <c r="Z90" s="1177"/>
      <c r="AA90" s="1177"/>
      <c r="AB90" s="1177"/>
      <c r="AC90" s="1178"/>
    </row>
    <row r="91" spans="4:30">
      <c r="D91" s="1294" t="s">
        <v>1184</v>
      </c>
      <c r="E91" s="1302"/>
      <c r="F91" s="426">
        <v>2972.5</v>
      </c>
      <c r="G91" s="426">
        <v>2973.2</v>
      </c>
      <c r="H91" s="426">
        <v>2982.1</v>
      </c>
      <c r="I91" s="426">
        <v>2976.4</v>
      </c>
      <c r="J91" s="426">
        <v>2910.9</v>
      </c>
      <c r="K91" s="426">
        <v>2851.7</v>
      </c>
      <c r="L91" s="426">
        <v>2909.6</v>
      </c>
      <c r="M91" s="426">
        <v>2898.8</v>
      </c>
      <c r="N91" s="1219">
        <v>2936.8</v>
      </c>
      <c r="O91" s="1176"/>
      <c r="P91" s="1177"/>
      <c r="Q91" s="1177"/>
      <c r="R91" s="1177"/>
      <c r="S91" s="1177"/>
      <c r="T91" s="1177"/>
      <c r="U91" s="1177"/>
      <c r="V91" s="1177"/>
      <c r="W91" s="1177"/>
      <c r="X91" s="1177"/>
      <c r="Y91" s="1177"/>
      <c r="Z91" s="1177"/>
      <c r="AA91" s="1177"/>
      <c r="AB91" s="1177"/>
      <c r="AC91" s="1178"/>
    </row>
    <row r="92" spans="4:30">
      <c r="D92" s="217" t="s">
        <v>1223</v>
      </c>
      <c r="E92" s="1302"/>
      <c r="F92" s="1329">
        <v>9275.4</v>
      </c>
      <c r="G92" s="1329">
        <v>9326.7999999999993</v>
      </c>
      <c r="H92" s="1329">
        <v>9465.6</v>
      </c>
      <c r="I92" s="1329">
        <v>9604.1</v>
      </c>
      <c r="J92" s="1329">
        <v>8979</v>
      </c>
      <c r="K92" s="1329">
        <v>9410.2999999999993</v>
      </c>
      <c r="L92" s="1329">
        <v>9783</v>
      </c>
      <c r="M92" s="1329">
        <v>9879.2000000000007</v>
      </c>
      <c r="N92" s="1330">
        <v>10068.4</v>
      </c>
      <c r="O92" s="1176"/>
      <c r="P92" s="1177"/>
      <c r="Q92" s="1177"/>
      <c r="R92" s="1177"/>
      <c r="S92" s="1177"/>
      <c r="T92" s="1177"/>
      <c r="U92" s="1177"/>
      <c r="V92" s="1177"/>
      <c r="W92" s="1177"/>
      <c r="X92" s="1177"/>
      <c r="Y92" s="1177"/>
      <c r="Z92" s="1177"/>
      <c r="AA92" s="1177"/>
      <c r="AB92" s="1177"/>
      <c r="AC92" s="1178"/>
    </row>
    <row r="93" spans="4:30">
      <c r="D93" s="217" t="s">
        <v>1224</v>
      </c>
      <c r="E93" s="1302"/>
      <c r="F93" s="1329">
        <v>14375.7</v>
      </c>
      <c r="G93" s="1329">
        <v>14529.5</v>
      </c>
      <c r="H93" s="1329">
        <v>14653.9</v>
      </c>
      <c r="I93" s="1329">
        <v>14439.1</v>
      </c>
      <c r="J93" s="1329">
        <v>12989.7</v>
      </c>
      <c r="K93" s="1329">
        <v>14293.8</v>
      </c>
      <c r="L93" s="1329">
        <v>14467.6</v>
      </c>
      <c r="M93" s="1329">
        <v>15005.4</v>
      </c>
      <c r="N93" s="1330">
        <v>15672.6</v>
      </c>
      <c r="O93" s="1176"/>
      <c r="P93" s="1177"/>
      <c r="Q93" s="1177"/>
      <c r="R93" s="1177"/>
      <c r="S93" s="1177"/>
      <c r="T93" s="1177"/>
      <c r="U93" s="1177"/>
      <c r="V93" s="1177"/>
      <c r="W93" s="1177"/>
      <c r="X93" s="1177"/>
      <c r="Y93" s="1177"/>
      <c r="Z93" s="1177"/>
      <c r="AA93" s="1177"/>
      <c r="AB93" s="1177"/>
      <c r="AC93" s="1178"/>
    </row>
    <row r="94" spans="4:30">
      <c r="D94" s="217" t="s">
        <v>1231</v>
      </c>
      <c r="E94" s="1302"/>
      <c r="F94" s="1329">
        <v>1858.1</v>
      </c>
      <c r="G94" s="1329">
        <v>1859.3</v>
      </c>
      <c r="H94" s="1329">
        <v>1901</v>
      </c>
      <c r="I94" s="1329">
        <v>1690.4</v>
      </c>
      <c r="J94" s="1329">
        <v>1534.3</v>
      </c>
      <c r="K94" s="1329">
        <v>1981</v>
      </c>
      <c r="L94" s="1329">
        <v>1950.5</v>
      </c>
      <c r="M94" s="1329">
        <v>2085</v>
      </c>
      <c r="N94" s="1219"/>
      <c r="O94" s="1176"/>
      <c r="P94" s="1177"/>
      <c r="Q94" s="1177"/>
      <c r="R94" s="1177"/>
      <c r="S94" s="1177"/>
      <c r="T94" s="1177"/>
      <c r="U94" s="1177"/>
      <c r="V94" s="1177"/>
      <c r="W94" s="1177"/>
      <c r="X94" s="1177"/>
      <c r="Y94" s="1177"/>
      <c r="Z94" s="1177"/>
      <c r="AA94" s="1177"/>
      <c r="AB94" s="1177"/>
      <c r="AC94" s="1178"/>
    </row>
    <row r="95" spans="4:30">
      <c r="D95" s="885" t="s">
        <v>1234</v>
      </c>
      <c r="E95" s="1302"/>
      <c r="F95" s="48"/>
      <c r="G95" s="48"/>
      <c r="H95" s="48"/>
      <c r="I95" s="48"/>
      <c r="J95" s="48"/>
      <c r="K95" s="48"/>
      <c r="L95" s="48"/>
      <c r="M95" s="48"/>
      <c r="N95" s="1308"/>
      <c r="O95" s="1176"/>
      <c r="P95" s="1177"/>
      <c r="Q95" s="1177"/>
      <c r="R95" s="1177"/>
      <c r="S95" s="1177"/>
      <c r="T95" s="1177"/>
      <c r="U95" s="1177"/>
      <c r="V95" s="1177"/>
      <c r="W95" s="1177"/>
      <c r="X95" s="1177"/>
      <c r="Y95" s="1177"/>
      <c r="Z95" s="1177"/>
      <c r="AA95" s="1177"/>
      <c r="AB95" s="1177"/>
      <c r="AC95" s="1178"/>
    </row>
    <row r="96" spans="4:30">
      <c r="D96" s="1251" t="s">
        <v>573</v>
      </c>
      <c r="E96" s="1302"/>
      <c r="F96" s="532">
        <f>F17/F87</f>
        <v>3.5895174238717728E-2</v>
      </c>
      <c r="G96" s="532">
        <f t="shared" ref="G96:N96" si="42">G17/G87</f>
        <v>3.4063593592702418E-2</v>
      </c>
      <c r="H96" s="532">
        <f t="shared" si="42"/>
        <v>3.3485633059193824E-2</v>
      </c>
      <c r="I96" s="532">
        <f t="shared" si="42"/>
        <v>3.3741879311499565E-2</v>
      </c>
      <c r="J96" s="532">
        <f t="shared" si="42"/>
        <v>3.6779076791869515E-2</v>
      </c>
      <c r="K96" s="532">
        <f t="shared" si="42"/>
        <v>3.5257715169774446E-2</v>
      </c>
      <c r="L96" s="532">
        <f t="shared" si="42"/>
        <v>3.4547929635356772E-2</v>
      </c>
      <c r="M96" s="532">
        <f t="shared" si="42"/>
        <v>3.6833696059544084E-2</v>
      </c>
      <c r="N96" s="532">
        <f t="shared" si="42"/>
        <v>4.0029285021610551E-2</v>
      </c>
      <c r="O96" s="1309">
        <f>N96</f>
        <v>4.0029285021610551E-2</v>
      </c>
      <c r="P96" s="1310">
        <f t="shared" ref="P96:AC98" si="43">O96</f>
        <v>4.0029285021610551E-2</v>
      </c>
      <c r="Q96" s="1310">
        <f t="shared" si="43"/>
        <v>4.0029285021610551E-2</v>
      </c>
      <c r="R96" s="1310">
        <f t="shared" si="43"/>
        <v>4.0029285021610551E-2</v>
      </c>
      <c r="S96" s="1310">
        <f t="shared" si="43"/>
        <v>4.0029285021610551E-2</v>
      </c>
      <c r="T96" s="1310">
        <f t="shared" si="43"/>
        <v>4.0029285021610551E-2</v>
      </c>
      <c r="U96" s="1310">
        <f t="shared" si="43"/>
        <v>4.0029285021610551E-2</v>
      </c>
      <c r="V96" s="1310">
        <f t="shared" si="43"/>
        <v>4.0029285021610551E-2</v>
      </c>
      <c r="W96" s="1310">
        <f t="shared" si="43"/>
        <v>4.0029285021610551E-2</v>
      </c>
      <c r="X96" s="1310">
        <f t="shared" si="43"/>
        <v>4.0029285021610551E-2</v>
      </c>
      <c r="Y96" s="1310">
        <f t="shared" si="43"/>
        <v>4.0029285021610551E-2</v>
      </c>
      <c r="Z96" s="1310">
        <f t="shared" si="43"/>
        <v>4.0029285021610551E-2</v>
      </c>
      <c r="AA96" s="1310">
        <f t="shared" si="43"/>
        <v>4.0029285021610551E-2</v>
      </c>
      <c r="AB96" s="1310">
        <f t="shared" si="43"/>
        <v>4.0029285021610551E-2</v>
      </c>
      <c r="AC96" s="1311">
        <f t="shared" si="43"/>
        <v>4.0029285021610551E-2</v>
      </c>
      <c r="AD96" s="1315"/>
    </row>
    <row r="97" spans="4:30">
      <c r="D97" s="1251" t="s">
        <v>574</v>
      </c>
      <c r="E97" s="1302"/>
      <c r="F97" s="532">
        <f>F18/F92</f>
        <v>2.2101472712767107E-3</v>
      </c>
      <c r="G97" s="532">
        <f t="shared" ref="G97:M97" si="44">G18/G92</f>
        <v>2.1765235664965477E-3</v>
      </c>
      <c r="H97" s="532">
        <f t="shared" si="44"/>
        <v>2.1340432724814063E-3</v>
      </c>
      <c r="I97" s="532">
        <f t="shared" si="44"/>
        <v>2.092856176008163E-3</v>
      </c>
      <c r="J97" s="532">
        <f t="shared" si="44"/>
        <v>2.1271856554181982E-3</v>
      </c>
      <c r="K97" s="532">
        <f t="shared" si="44"/>
        <v>2.1147041008256909E-3</v>
      </c>
      <c r="L97" s="532">
        <f t="shared" si="44"/>
        <v>2.0954717366860882E-3</v>
      </c>
      <c r="M97" s="532">
        <f t="shared" si="44"/>
        <v>2.1459227467811154E-3</v>
      </c>
      <c r="N97" s="532">
        <f>N18/N92</f>
        <v>2.1751221643955343E-3</v>
      </c>
      <c r="O97" s="1309">
        <f t="shared" ref="O97:O99" si="45">AVERAGE(K97:N97)</f>
        <v>2.1328051871721074E-3</v>
      </c>
      <c r="P97" s="1310">
        <f t="shared" si="43"/>
        <v>2.1328051871721074E-3</v>
      </c>
      <c r="Q97" s="1310">
        <f t="shared" si="43"/>
        <v>2.1328051871721074E-3</v>
      </c>
      <c r="R97" s="1310">
        <f t="shared" si="43"/>
        <v>2.1328051871721074E-3</v>
      </c>
      <c r="S97" s="1310">
        <f t="shared" si="43"/>
        <v>2.1328051871721074E-3</v>
      </c>
      <c r="T97" s="1310">
        <f t="shared" si="43"/>
        <v>2.1328051871721074E-3</v>
      </c>
      <c r="U97" s="1310">
        <f t="shared" si="43"/>
        <v>2.1328051871721074E-3</v>
      </c>
      <c r="V97" s="1310">
        <f t="shared" si="43"/>
        <v>2.1328051871721074E-3</v>
      </c>
      <c r="W97" s="1310">
        <f t="shared" si="43"/>
        <v>2.1328051871721074E-3</v>
      </c>
      <c r="X97" s="1310">
        <f t="shared" si="43"/>
        <v>2.1328051871721074E-3</v>
      </c>
      <c r="Y97" s="1310">
        <f t="shared" si="43"/>
        <v>2.1328051871721074E-3</v>
      </c>
      <c r="Z97" s="1310">
        <f t="shared" si="43"/>
        <v>2.1328051871721074E-3</v>
      </c>
      <c r="AA97" s="1310">
        <f t="shared" si="43"/>
        <v>2.1328051871721074E-3</v>
      </c>
      <c r="AB97" s="1310">
        <f t="shared" si="43"/>
        <v>2.1328051871721074E-3</v>
      </c>
      <c r="AC97" s="1311">
        <f t="shared" si="43"/>
        <v>2.1328051871721074E-3</v>
      </c>
      <c r="AD97" s="1315"/>
    </row>
    <row r="98" spans="4:30">
      <c r="D98" s="1251" t="s">
        <v>572</v>
      </c>
      <c r="E98" s="1302"/>
      <c r="F98" s="532">
        <f>F19/F93</f>
        <v>9.3818040165000657E-2</v>
      </c>
      <c r="G98" s="532">
        <f t="shared" ref="G98:M98" si="46">G19/G93</f>
        <v>9.4435458893974325E-2</v>
      </c>
      <c r="H98" s="532">
        <f t="shared" si="46"/>
        <v>9.406369635387167E-2</v>
      </c>
      <c r="I98" s="532">
        <f t="shared" si="46"/>
        <v>9.635642110657866E-2</v>
      </c>
      <c r="J98" s="532">
        <f t="shared" si="46"/>
        <v>0.10178833999245555</v>
      </c>
      <c r="K98" s="532">
        <f t="shared" si="46"/>
        <v>9.7433852439519242E-2</v>
      </c>
      <c r="L98" s="532">
        <f t="shared" si="46"/>
        <v>9.6795598440653607E-2</v>
      </c>
      <c r="M98" s="532">
        <f t="shared" si="46"/>
        <v>9.4226078611699793E-2</v>
      </c>
      <c r="N98" s="532">
        <f>N19/N93</f>
        <v>9.3322103543764273E-2</v>
      </c>
      <c r="O98" s="1309">
        <f t="shared" si="45"/>
        <v>9.5444408258909236E-2</v>
      </c>
      <c r="P98" s="1310">
        <f t="shared" si="43"/>
        <v>9.5444408258909236E-2</v>
      </c>
      <c r="Q98" s="1310">
        <f t="shared" si="43"/>
        <v>9.5444408258909236E-2</v>
      </c>
      <c r="R98" s="1310">
        <f t="shared" si="43"/>
        <v>9.5444408258909236E-2</v>
      </c>
      <c r="S98" s="1310">
        <f t="shared" si="43"/>
        <v>9.5444408258909236E-2</v>
      </c>
      <c r="T98" s="1310">
        <f t="shared" si="43"/>
        <v>9.5444408258909236E-2</v>
      </c>
      <c r="U98" s="1310">
        <f t="shared" si="43"/>
        <v>9.5444408258909236E-2</v>
      </c>
      <c r="V98" s="1310">
        <f t="shared" si="43"/>
        <v>9.5444408258909236E-2</v>
      </c>
      <c r="W98" s="1310">
        <f t="shared" si="43"/>
        <v>9.5444408258909236E-2</v>
      </c>
      <c r="X98" s="1310">
        <f t="shared" si="43"/>
        <v>9.5444408258909236E-2</v>
      </c>
      <c r="Y98" s="1310">
        <f t="shared" si="43"/>
        <v>9.5444408258909236E-2</v>
      </c>
      <c r="Z98" s="1310">
        <f t="shared" si="43"/>
        <v>9.5444408258909236E-2</v>
      </c>
      <c r="AA98" s="1310">
        <f t="shared" si="43"/>
        <v>9.5444408258909236E-2</v>
      </c>
      <c r="AB98" s="1310">
        <f t="shared" si="43"/>
        <v>9.5444408258909236E-2</v>
      </c>
      <c r="AC98" s="1311">
        <f t="shared" si="43"/>
        <v>9.5444408258909236E-2</v>
      </c>
      <c r="AD98" s="1315"/>
    </row>
    <row r="99" spans="4:30">
      <c r="D99" s="1252" t="s">
        <v>1180</v>
      </c>
      <c r="E99" s="59"/>
      <c r="F99" s="401">
        <f>F20/F94</f>
        <v>3.9179807330068352E-2</v>
      </c>
      <c r="G99" s="401">
        <f t="shared" ref="G99:M99" si="47">G20/G94</f>
        <v>3.9315871564567305E-2</v>
      </c>
      <c r="H99" s="401">
        <f t="shared" si="47"/>
        <v>3.8085218306154661E-2</v>
      </c>
      <c r="I99" s="401">
        <f t="shared" si="47"/>
        <v>3.9339801230477991E-2</v>
      </c>
      <c r="J99" s="401">
        <f t="shared" si="47"/>
        <v>4.0344130874014207E-2</v>
      </c>
      <c r="K99" s="401">
        <f t="shared" si="47"/>
        <v>3.8768298838970212E-2</v>
      </c>
      <c r="L99" s="401">
        <f t="shared" si="47"/>
        <v>4.039989746218918E-2</v>
      </c>
      <c r="M99" s="401">
        <f t="shared" si="47"/>
        <v>4.100719424460432E-2</v>
      </c>
      <c r="N99" s="1328">
        <f>M99</f>
        <v>4.100719424460432E-2</v>
      </c>
      <c r="O99" s="1312">
        <f t="shared" si="45"/>
        <v>4.029564619759201E-2</v>
      </c>
      <c r="P99" s="1313">
        <f>O99</f>
        <v>4.029564619759201E-2</v>
      </c>
      <c r="Q99" s="1313">
        <f t="shared" ref="Q99:AC99" si="48">P99</f>
        <v>4.029564619759201E-2</v>
      </c>
      <c r="R99" s="1313">
        <f t="shared" si="48"/>
        <v>4.029564619759201E-2</v>
      </c>
      <c r="S99" s="1313">
        <f t="shared" si="48"/>
        <v>4.029564619759201E-2</v>
      </c>
      <c r="T99" s="1313">
        <f t="shared" si="48"/>
        <v>4.029564619759201E-2</v>
      </c>
      <c r="U99" s="1313">
        <f t="shared" si="48"/>
        <v>4.029564619759201E-2</v>
      </c>
      <c r="V99" s="1313">
        <f t="shared" si="48"/>
        <v>4.029564619759201E-2</v>
      </c>
      <c r="W99" s="1313">
        <f t="shared" si="48"/>
        <v>4.029564619759201E-2</v>
      </c>
      <c r="X99" s="1313">
        <f t="shared" si="48"/>
        <v>4.029564619759201E-2</v>
      </c>
      <c r="Y99" s="1313">
        <f t="shared" si="48"/>
        <v>4.029564619759201E-2</v>
      </c>
      <c r="Z99" s="1313">
        <f t="shared" si="48"/>
        <v>4.029564619759201E-2</v>
      </c>
      <c r="AA99" s="1313">
        <f t="shared" si="48"/>
        <v>4.029564619759201E-2</v>
      </c>
      <c r="AB99" s="1313">
        <f t="shared" si="48"/>
        <v>4.029564619759201E-2</v>
      </c>
      <c r="AC99" s="1314">
        <f t="shared" si="48"/>
        <v>4.029564619759201E-2</v>
      </c>
      <c r="AD99" s="1315"/>
    </row>
    <row r="101" spans="4:30" ht="18.5" customHeight="1"/>
  </sheetData>
  <mergeCells count="31">
    <mergeCell ref="Y79:AB79"/>
    <mergeCell ref="F79:H79"/>
    <mergeCell ref="I79:L79"/>
    <mergeCell ref="M79:N79"/>
    <mergeCell ref="D79:E80"/>
    <mergeCell ref="D5:E7"/>
    <mergeCell ref="D81:E81"/>
    <mergeCell ref="O79:P79"/>
    <mergeCell ref="Q79:T79"/>
    <mergeCell ref="U79:X79"/>
    <mergeCell ref="O6:P6"/>
    <mergeCell ref="O33:R33"/>
    <mergeCell ref="I69:L69"/>
    <mergeCell ref="Q69:T69"/>
    <mergeCell ref="U69:X69"/>
    <mergeCell ref="D2:AC3"/>
    <mergeCell ref="D1:AC1"/>
    <mergeCell ref="Y69:AB69"/>
    <mergeCell ref="M69:N69"/>
    <mergeCell ref="O69:P69"/>
    <mergeCell ref="O5:AC5"/>
    <mergeCell ref="Y6:AB6"/>
    <mergeCell ref="O34:R34"/>
    <mergeCell ref="F5:N5"/>
    <mergeCell ref="D69:E70"/>
    <mergeCell ref="U6:X6"/>
    <mergeCell ref="F69:H69"/>
    <mergeCell ref="F6:H6"/>
    <mergeCell ref="I6:L6"/>
    <mergeCell ref="Q6:T6"/>
    <mergeCell ref="M6:N6"/>
  </mergeCells>
  <pageMargins left="0.7" right="0.7" top="0.75" bottom="0.75" header="0.3" footer="0.3"/>
  <pageSetup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CFD87-A2E0-44AB-8AEF-976FD2B92CE4}">
  <dimension ref="A1:GY80"/>
  <sheetViews>
    <sheetView tabSelected="1" zoomScale="110" workbookViewId="0">
      <pane xSplit="1" ySplit="1" topLeftCell="GU2" activePane="bottomRight" state="frozen"/>
      <selection pane="topRight" activeCell="B1" sqref="B1"/>
      <selection pane="bottomLeft" activeCell="A2" sqref="A2"/>
      <selection pane="bottomRight" activeCell="GZ9" sqref="GZ9"/>
    </sheetView>
  </sheetViews>
  <sheetFormatPr baseColWidth="10" defaultColWidth="10.83203125" defaultRowHeight="15"/>
  <cols>
    <col min="1" max="16384" width="10.83203125" style="560"/>
  </cols>
  <sheetData>
    <row r="1" spans="1:207">
      <c r="A1" s="560" t="s">
        <v>629</v>
      </c>
      <c r="B1" s="560" t="s">
        <v>725</v>
      </c>
      <c r="C1" s="560" t="s">
        <v>726</v>
      </c>
      <c r="D1" s="560" t="s">
        <v>727</v>
      </c>
      <c r="E1" s="560" t="s">
        <v>728</v>
      </c>
      <c r="F1" s="560" t="s">
        <v>729</v>
      </c>
      <c r="G1" s="560" t="s">
        <v>730</v>
      </c>
      <c r="H1" s="560" t="s">
        <v>731</v>
      </c>
      <c r="I1" s="560" t="s">
        <v>732</v>
      </c>
      <c r="J1" s="560" t="s">
        <v>733</v>
      </c>
      <c r="K1" s="560" t="s">
        <v>734</v>
      </c>
      <c r="L1" s="560" t="s">
        <v>735</v>
      </c>
      <c r="M1" s="560" t="s">
        <v>736</v>
      </c>
      <c r="N1" s="560" t="s">
        <v>737</v>
      </c>
      <c r="O1" s="560" t="s">
        <v>738</v>
      </c>
      <c r="P1" s="560" t="s">
        <v>739</v>
      </c>
      <c r="Q1" s="560" t="s">
        <v>740</v>
      </c>
      <c r="R1" s="560" t="s">
        <v>741</v>
      </c>
      <c r="S1" s="560" t="s">
        <v>742</v>
      </c>
      <c r="T1" s="560" t="s">
        <v>743</v>
      </c>
      <c r="U1" s="560" t="s">
        <v>744</v>
      </c>
      <c r="V1" s="560" t="s">
        <v>745</v>
      </c>
      <c r="W1" s="560" t="s">
        <v>746</v>
      </c>
      <c r="X1" s="560" t="s">
        <v>747</v>
      </c>
      <c r="Y1" s="560" t="s">
        <v>748</v>
      </c>
      <c r="Z1" s="560" t="s">
        <v>749</v>
      </c>
      <c r="AA1" s="560" t="s">
        <v>750</v>
      </c>
      <c r="AB1" s="560" t="s">
        <v>751</v>
      </c>
      <c r="AC1" s="560" t="s">
        <v>752</v>
      </c>
      <c r="AD1" s="560" t="s">
        <v>753</v>
      </c>
      <c r="AE1" s="560" t="s">
        <v>754</v>
      </c>
      <c r="AF1" s="560" t="s">
        <v>755</v>
      </c>
      <c r="AG1" s="560" t="s">
        <v>756</v>
      </c>
      <c r="AH1" s="560" t="s">
        <v>757</v>
      </c>
      <c r="AI1" s="560" t="s">
        <v>758</v>
      </c>
      <c r="AJ1" s="560" t="s">
        <v>759</v>
      </c>
      <c r="AK1" s="560" t="s">
        <v>760</v>
      </c>
      <c r="AL1" s="560" t="s">
        <v>761</v>
      </c>
      <c r="AM1" s="560" t="s">
        <v>762</v>
      </c>
      <c r="AN1" s="560" t="s">
        <v>763</v>
      </c>
      <c r="AO1" s="560" t="s">
        <v>764</v>
      </c>
      <c r="AP1" s="560" t="s">
        <v>765</v>
      </c>
      <c r="AQ1" s="560" t="s">
        <v>766</v>
      </c>
      <c r="AR1" s="560" t="s">
        <v>767</v>
      </c>
      <c r="AS1" s="560" t="s">
        <v>768</v>
      </c>
      <c r="AT1" s="560" t="s">
        <v>769</v>
      </c>
      <c r="AU1" s="560" t="s">
        <v>770</v>
      </c>
      <c r="AV1" s="560" t="s">
        <v>771</v>
      </c>
      <c r="AW1" s="560" t="s">
        <v>772</v>
      </c>
      <c r="AX1" s="560" t="s">
        <v>773</v>
      </c>
      <c r="AY1" s="560" t="s">
        <v>774</v>
      </c>
      <c r="AZ1" s="560" t="s">
        <v>775</v>
      </c>
      <c r="BA1" s="560" t="s">
        <v>776</v>
      </c>
      <c r="BB1" s="560" t="s">
        <v>777</v>
      </c>
      <c r="BC1" s="560" t="s">
        <v>778</v>
      </c>
      <c r="BD1" s="560" t="s">
        <v>779</v>
      </c>
      <c r="BE1" s="560" t="s">
        <v>780</v>
      </c>
      <c r="BF1" s="560" t="s">
        <v>781</v>
      </c>
      <c r="BG1" s="560" t="s">
        <v>782</v>
      </c>
      <c r="BH1" s="560" t="s">
        <v>783</v>
      </c>
      <c r="BI1" s="560" t="s">
        <v>784</v>
      </c>
      <c r="BJ1" s="560" t="s">
        <v>785</v>
      </c>
      <c r="BK1" s="560" t="s">
        <v>786</v>
      </c>
      <c r="BL1" s="560" t="s">
        <v>787</v>
      </c>
      <c r="BM1" s="560" t="s">
        <v>788</v>
      </c>
      <c r="BN1" s="560" t="s">
        <v>789</v>
      </c>
      <c r="BO1" s="560" t="s">
        <v>790</v>
      </c>
      <c r="BP1" s="560" t="s">
        <v>791</v>
      </c>
      <c r="BQ1" s="560" t="s">
        <v>792</v>
      </c>
      <c r="BR1" s="560" t="s">
        <v>793</v>
      </c>
      <c r="BS1" s="560" t="s">
        <v>794</v>
      </c>
      <c r="BT1" s="560" t="s">
        <v>795</v>
      </c>
      <c r="BU1" s="560" t="s">
        <v>796</v>
      </c>
      <c r="BV1" s="560" t="s">
        <v>797</v>
      </c>
      <c r="BW1" s="560" t="s">
        <v>798</v>
      </c>
      <c r="BX1" s="560" t="s">
        <v>799</v>
      </c>
      <c r="BY1" s="560" t="s">
        <v>800</v>
      </c>
      <c r="BZ1" s="560" t="s">
        <v>801</v>
      </c>
      <c r="CA1" s="560" t="s">
        <v>802</v>
      </c>
      <c r="CB1" s="560" t="s">
        <v>803</v>
      </c>
      <c r="CC1" s="560" t="s">
        <v>804</v>
      </c>
      <c r="CD1" s="560" t="s">
        <v>805</v>
      </c>
      <c r="CE1" s="560" t="s">
        <v>806</v>
      </c>
      <c r="CF1" s="560" t="s">
        <v>807</v>
      </c>
      <c r="CG1" s="560" t="s">
        <v>808</v>
      </c>
      <c r="CH1" s="560" t="s">
        <v>809</v>
      </c>
      <c r="CI1" s="560" t="s">
        <v>810</v>
      </c>
      <c r="CJ1" s="560" t="s">
        <v>811</v>
      </c>
      <c r="CK1" s="560" t="s">
        <v>812</v>
      </c>
      <c r="CL1" s="560" t="s">
        <v>813</v>
      </c>
      <c r="CM1" s="560" t="s">
        <v>814</v>
      </c>
      <c r="CN1" s="560" t="s">
        <v>815</v>
      </c>
      <c r="CO1" s="560" t="s">
        <v>816</v>
      </c>
      <c r="CP1" s="560" t="s">
        <v>817</v>
      </c>
      <c r="CQ1" s="560" t="s">
        <v>818</v>
      </c>
      <c r="CR1" s="560" t="s">
        <v>819</v>
      </c>
      <c r="CS1" s="560" t="s">
        <v>820</v>
      </c>
      <c r="CT1" s="560" t="s">
        <v>821</v>
      </c>
      <c r="CU1" s="560" t="s">
        <v>822</v>
      </c>
      <c r="CV1" s="560" t="s">
        <v>823</v>
      </c>
      <c r="CW1" s="560" t="s">
        <v>824</v>
      </c>
      <c r="CX1" s="560" t="s">
        <v>825</v>
      </c>
      <c r="CY1" s="560" t="s">
        <v>826</v>
      </c>
      <c r="CZ1" s="560" t="s">
        <v>827</v>
      </c>
      <c r="DA1" s="560" t="s">
        <v>828</v>
      </c>
      <c r="DB1" s="560" t="s">
        <v>829</v>
      </c>
      <c r="DC1" s="560" t="s">
        <v>830</v>
      </c>
      <c r="DD1" s="560" t="s">
        <v>831</v>
      </c>
      <c r="DE1" s="560" t="s">
        <v>832</v>
      </c>
      <c r="DF1" s="560" t="s">
        <v>833</v>
      </c>
      <c r="DG1" s="560" t="s">
        <v>834</v>
      </c>
      <c r="DH1" s="560" t="s">
        <v>835</v>
      </c>
      <c r="DI1" s="560" t="s">
        <v>836</v>
      </c>
      <c r="DJ1" s="560" t="s">
        <v>837</v>
      </c>
      <c r="DK1" s="560" t="s">
        <v>838</v>
      </c>
      <c r="DL1" s="560" t="s">
        <v>839</v>
      </c>
      <c r="DM1" s="560" t="s">
        <v>840</v>
      </c>
      <c r="DN1" s="560" t="s">
        <v>841</v>
      </c>
      <c r="DO1" s="560" t="s">
        <v>842</v>
      </c>
      <c r="DP1" s="560" t="s">
        <v>843</v>
      </c>
      <c r="DQ1" s="560" t="s">
        <v>844</v>
      </c>
      <c r="DR1" s="560" t="s">
        <v>845</v>
      </c>
      <c r="DS1" s="560" t="s">
        <v>846</v>
      </c>
      <c r="DT1" s="560" t="s">
        <v>847</v>
      </c>
      <c r="DU1" s="560" t="s">
        <v>848</v>
      </c>
      <c r="DV1" s="560" t="s">
        <v>849</v>
      </c>
      <c r="DW1" s="560" t="s">
        <v>850</v>
      </c>
      <c r="DX1" s="560" t="s">
        <v>851</v>
      </c>
      <c r="DY1" s="560" t="s">
        <v>852</v>
      </c>
      <c r="DZ1" s="560" t="s">
        <v>853</v>
      </c>
      <c r="EA1" s="560" t="s">
        <v>854</v>
      </c>
      <c r="EB1" s="560" t="s">
        <v>855</v>
      </c>
      <c r="EC1" s="560" t="s">
        <v>856</v>
      </c>
      <c r="ED1" s="560" t="s">
        <v>857</v>
      </c>
      <c r="EE1" s="560" t="s">
        <v>858</v>
      </c>
      <c r="EF1" s="560" t="s">
        <v>859</v>
      </c>
      <c r="EG1" s="560" t="s">
        <v>860</v>
      </c>
      <c r="EH1" s="560" t="s">
        <v>861</v>
      </c>
      <c r="EI1" s="560" t="s">
        <v>862</v>
      </c>
      <c r="EJ1" s="560" t="s">
        <v>863</v>
      </c>
      <c r="EK1" s="560" t="s">
        <v>864</v>
      </c>
      <c r="EL1" s="560" t="s">
        <v>865</v>
      </c>
      <c r="EM1" s="560" t="s">
        <v>866</v>
      </c>
      <c r="EN1" s="560" t="s">
        <v>867</v>
      </c>
      <c r="EO1" s="560" t="s">
        <v>868</v>
      </c>
      <c r="EP1" s="560" t="s">
        <v>869</v>
      </c>
      <c r="EQ1" s="560" t="s">
        <v>870</v>
      </c>
      <c r="ER1" s="560" t="s">
        <v>871</v>
      </c>
      <c r="ES1" s="560" t="s">
        <v>872</v>
      </c>
      <c r="ET1" s="560" t="s">
        <v>873</v>
      </c>
      <c r="EU1" s="560" t="s">
        <v>874</v>
      </c>
      <c r="EV1" s="560" t="s">
        <v>875</v>
      </c>
      <c r="EW1" s="560" t="s">
        <v>876</v>
      </c>
      <c r="EX1" s="560" t="s">
        <v>877</v>
      </c>
      <c r="EY1" s="560" t="s">
        <v>878</v>
      </c>
      <c r="EZ1" s="560" t="s">
        <v>879</v>
      </c>
      <c r="FA1" s="560" t="s">
        <v>880</v>
      </c>
      <c r="FB1" s="560" t="s">
        <v>881</v>
      </c>
      <c r="FC1" s="560" t="s">
        <v>882</v>
      </c>
      <c r="FD1" s="560" t="s">
        <v>883</v>
      </c>
      <c r="FE1" s="560" t="s">
        <v>884</v>
      </c>
      <c r="FF1" s="560" t="s">
        <v>885</v>
      </c>
      <c r="FG1" s="560" t="s">
        <v>886</v>
      </c>
      <c r="FH1" s="560" t="s">
        <v>887</v>
      </c>
      <c r="FI1" s="560" t="s">
        <v>888</v>
      </c>
      <c r="FJ1" s="560" t="s">
        <v>889</v>
      </c>
      <c r="FK1" s="560" t="s">
        <v>890</v>
      </c>
      <c r="FL1" s="560" t="s">
        <v>891</v>
      </c>
      <c r="FM1" s="560" t="s">
        <v>892</v>
      </c>
      <c r="FN1" s="560" t="s">
        <v>893</v>
      </c>
      <c r="FO1" s="560" t="s">
        <v>894</v>
      </c>
      <c r="FP1" s="560" t="s">
        <v>895</v>
      </c>
      <c r="FQ1" s="560" t="s">
        <v>896</v>
      </c>
      <c r="FR1" s="560" t="s">
        <v>897</v>
      </c>
      <c r="FS1" s="560" t="s">
        <v>898</v>
      </c>
      <c r="FT1" s="560" t="s">
        <v>899</v>
      </c>
      <c r="FU1" s="560" t="s">
        <v>900</v>
      </c>
      <c r="FV1" s="560" t="s">
        <v>901</v>
      </c>
      <c r="FW1" s="560" t="s">
        <v>902</v>
      </c>
      <c r="FX1" s="560" t="s">
        <v>903</v>
      </c>
      <c r="FY1" s="560" t="s">
        <v>904</v>
      </c>
      <c r="FZ1" s="560" t="s">
        <v>905</v>
      </c>
      <c r="GA1" s="560" t="s">
        <v>906</v>
      </c>
      <c r="GB1" s="560" t="s">
        <v>907</v>
      </c>
      <c r="GC1" s="560" t="s">
        <v>908</v>
      </c>
      <c r="GD1" s="560" t="s">
        <v>909</v>
      </c>
      <c r="GE1" s="560" t="s">
        <v>910</v>
      </c>
      <c r="GF1" s="560" t="s">
        <v>911</v>
      </c>
      <c r="GG1" s="560" t="s">
        <v>912</v>
      </c>
      <c r="GH1" s="560" t="s">
        <v>913</v>
      </c>
      <c r="GI1" s="560" t="s">
        <v>914</v>
      </c>
      <c r="GJ1" s="560" t="s">
        <v>915</v>
      </c>
      <c r="GK1" s="560" t="s">
        <v>916</v>
      </c>
      <c r="GL1" s="560" t="s">
        <v>917</v>
      </c>
      <c r="GM1" s="560" t="s">
        <v>918</v>
      </c>
      <c r="GN1" s="560" t="s">
        <v>919</v>
      </c>
      <c r="GO1" s="560" t="s">
        <v>920</v>
      </c>
      <c r="GP1" s="560" t="s">
        <v>921</v>
      </c>
      <c r="GQ1" s="560" t="s">
        <v>922</v>
      </c>
      <c r="GR1" s="560" t="s">
        <v>923</v>
      </c>
      <c r="GS1" s="560" t="s">
        <v>146</v>
      </c>
      <c r="GT1" s="560" t="s">
        <v>147</v>
      </c>
      <c r="GU1" s="560" t="s">
        <v>148</v>
      </c>
      <c r="GV1" s="560" t="s">
        <v>149</v>
      </c>
      <c r="GW1" s="560" t="s">
        <v>150</v>
      </c>
      <c r="GX1" s="560" t="s">
        <v>151</v>
      </c>
      <c r="GY1" s="560" t="s">
        <v>152</v>
      </c>
    </row>
    <row r="2" spans="1:207">
      <c r="A2" s="560" t="s">
        <v>201</v>
      </c>
      <c r="B2" s="560">
        <v>1051.2</v>
      </c>
      <c r="C2" s="560">
        <v>1067.4000000000001</v>
      </c>
      <c r="D2" s="560">
        <v>1086.0999999999999</v>
      </c>
      <c r="E2" s="560">
        <v>1088.5999999999999</v>
      </c>
      <c r="F2" s="560">
        <v>1135.2</v>
      </c>
      <c r="G2" s="560">
        <v>1156.3</v>
      </c>
      <c r="H2" s="560">
        <v>1177.7</v>
      </c>
      <c r="I2" s="560">
        <v>1190.3</v>
      </c>
      <c r="J2" s="560">
        <v>1230.5999999999999</v>
      </c>
      <c r="K2" s="560">
        <v>1266.4000000000001</v>
      </c>
      <c r="L2" s="560">
        <v>1290.5999999999999</v>
      </c>
      <c r="M2" s="560">
        <v>1328.9</v>
      </c>
      <c r="N2" s="560">
        <v>1377.5</v>
      </c>
      <c r="O2" s="560">
        <v>1413.9</v>
      </c>
      <c r="P2" s="560">
        <v>1433.8</v>
      </c>
      <c r="Q2" s="560">
        <v>1476.3</v>
      </c>
      <c r="R2" s="560">
        <v>1491.2</v>
      </c>
      <c r="S2" s="560">
        <v>1530.1</v>
      </c>
      <c r="T2" s="560">
        <v>1560</v>
      </c>
      <c r="U2" s="560">
        <v>1599.7</v>
      </c>
      <c r="V2" s="560">
        <v>1616.1</v>
      </c>
      <c r="W2" s="560">
        <v>1651.9</v>
      </c>
      <c r="X2" s="560">
        <v>1709.8</v>
      </c>
      <c r="Y2" s="560">
        <v>1761.8</v>
      </c>
      <c r="Z2" s="560">
        <v>1820.5</v>
      </c>
      <c r="AA2" s="560">
        <v>1852.3</v>
      </c>
      <c r="AB2" s="560">
        <v>1886.6</v>
      </c>
      <c r="AC2" s="560">
        <v>1934.3</v>
      </c>
      <c r="AD2" s="560">
        <v>1988.6</v>
      </c>
      <c r="AE2" s="560">
        <v>2055.9</v>
      </c>
      <c r="AF2" s="560">
        <v>2118.5</v>
      </c>
      <c r="AG2" s="560">
        <v>2164.3000000000002</v>
      </c>
      <c r="AH2" s="560">
        <v>2202.8000000000002</v>
      </c>
      <c r="AI2" s="560">
        <v>2331.6</v>
      </c>
      <c r="AJ2" s="560">
        <v>2395.1</v>
      </c>
      <c r="AK2" s="560">
        <v>2476.9</v>
      </c>
      <c r="AL2" s="560">
        <v>2526.6</v>
      </c>
      <c r="AM2" s="560">
        <v>2591.1999999999998</v>
      </c>
      <c r="AN2" s="560">
        <v>2667.6</v>
      </c>
      <c r="AO2" s="560">
        <v>2723.9</v>
      </c>
      <c r="AP2" s="560">
        <v>2789.8</v>
      </c>
      <c r="AQ2" s="560">
        <v>2797.4</v>
      </c>
      <c r="AR2" s="560">
        <v>2856.5</v>
      </c>
      <c r="AS2" s="560">
        <v>2985.6</v>
      </c>
      <c r="AT2" s="560">
        <v>3124.2</v>
      </c>
      <c r="AU2" s="560">
        <v>3162.5</v>
      </c>
      <c r="AV2" s="560">
        <v>3260.6</v>
      </c>
      <c r="AW2" s="560">
        <v>3280.8</v>
      </c>
      <c r="AX2" s="560">
        <v>3274.3</v>
      </c>
      <c r="AY2" s="560">
        <v>3332</v>
      </c>
      <c r="AZ2" s="560">
        <v>3366.3</v>
      </c>
      <c r="BA2" s="560">
        <v>3402.6</v>
      </c>
      <c r="BB2" s="560">
        <v>3473.4</v>
      </c>
      <c r="BC2" s="560">
        <v>3578.8</v>
      </c>
      <c r="BD2" s="560">
        <v>3689.2</v>
      </c>
      <c r="BE2" s="560">
        <v>3794.7</v>
      </c>
      <c r="BF2" s="560">
        <v>3908.1</v>
      </c>
      <c r="BG2" s="560">
        <v>4009.6</v>
      </c>
      <c r="BH2" s="560">
        <v>4084.3</v>
      </c>
      <c r="BI2" s="560">
        <v>4148.6000000000004</v>
      </c>
      <c r="BJ2" s="560">
        <v>4230.2</v>
      </c>
      <c r="BK2" s="560">
        <v>4294.8999999999996</v>
      </c>
      <c r="BL2" s="560">
        <v>4386.8</v>
      </c>
      <c r="BM2" s="560">
        <v>4444.1000000000004</v>
      </c>
      <c r="BN2" s="560">
        <v>4507.8999999999996</v>
      </c>
      <c r="BO2" s="560">
        <v>4545.3</v>
      </c>
      <c r="BP2" s="560">
        <v>4607.7</v>
      </c>
      <c r="BQ2" s="560">
        <v>4657.6000000000004</v>
      </c>
      <c r="BR2" s="560">
        <v>4722.2</v>
      </c>
      <c r="BS2" s="560">
        <v>4806.2</v>
      </c>
      <c r="BT2" s="560">
        <v>4884.6000000000004</v>
      </c>
      <c r="BU2" s="560">
        <v>5008</v>
      </c>
      <c r="BV2" s="560">
        <v>5073.3999999999996</v>
      </c>
      <c r="BW2" s="560">
        <v>5190</v>
      </c>
      <c r="BX2" s="560">
        <v>5282.8</v>
      </c>
      <c r="BY2" s="560">
        <v>5399.5</v>
      </c>
      <c r="BZ2" s="560">
        <v>5511.3</v>
      </c>
      <c r="CA2" s="560">
        <v>5612.5</v>
      </c>
      <c r="CB2" s="560">
        <v>5695.4</v>
      </c>
      <c r="CC2" s="560">
        <v>5747.2</v>
      </c>
      <c r="CD2" s="560">
        <v>5872.7</v>
      </c>
      <c r="CE2" s="560">
        <v>5960</v>
      </c>
      <c r="CF2" s="560">
        <v>6015.1</v>
      </c>
      <c r="CG2" s="560">
        <v>6004.7</v>
      </c>
      <c r="CH2" s="560">
        <v>6035.2</v>
      </c>
      <c r="CI2" s="560">
        <v>6126.9</v>
      </c>
      <c r="CJ2" s="560">
        <v>6205.9</v>
      </c>
      <c r="CK2" s="560">
        <v>6264.5</v>
      </c>
      <c r="CL2" s="560">
        <v>6363.1</v>
      </c>
      <c r="CM2" s="560">
        <v>6470.8</v>
      </c>
      <c r="CN2" s="560">
        <v>6566.6</v>
      </c>
      <c r="CO2" s="560">
        <v>6680.8</v>
      </c>
      <c r="CP2" s="560">
        <v>6729.5</v>
      </c>
      <c r="CQ2" s="560">
        <v>6808.9</v>
      </c>
      <c r="CR2" s="560">
        <v>6882.1</v>
      </c>
      <c r="CS2" s="560">
        <v>7013.7</v>
      </c>
      <c r="CT2" s="560">
        <v>7115.7</v>
      </c>
      <c r="CU2" s="560">
        <v>7246.9</v>
      </c>
      <c r="CV2" s="560">
        <v>7331.1</v>
      </c>
      <c r="CW2" s="560">
        <v>7455.3</v>
      </c>
      <c r="CX2" s="560">
        <v>7522.3</v>
      </c>
      <c r="CY2" s="560">
        <v>7581</v>
      </c>
      <c r="CZ2" s="560">
        <v>7683.1</v>
      </c>
      <c r="DA2" s="560">
        <v>7772.6</v>
      </c>
      <c r="DB2" s="560">
        <v>7868.5</v>
      </c>
      <c r="DC2" s="560">
        <v>8032.8</v>
      </c>
      <c r="DD2" s="560">
        <v>8131.4</v>
      </c>
      <c r="DE2" s="560">
        <v>8259.7999999999993</v>
      </c>
      <c r="DF2" s="560">
        <v>8362.7000000000007</v>
      </c>
      <c r="DG2" s="560">
        <v>8518.7999999999993</v>
      </c>
      <c r="DH2" s="560">
        <v>8662.7999999999993</v>
      </c>
      <c r="DI2" s="560">
        <v>8765.9</v>
      </c>
      <c r="DJ2" s="560">
        <v>8866.5</v>
      </c>
      <c r="DK2" s="560">
        <v>8969.7000000000007</v>
      </c>
      <c r="DL2" s="560">
        <v>9121.1</v>
      </c>
      <c r="DM2" s="560">
        <v>9294</v>
      </c>
      <c r="DN2" s="560">
        <v>9411.7000000000007</v>
      </c>
      <c r="DO2" s="560">
        <v>9526.2000000000007</v>
      </c>
      <c r="DP2" s="560">
        <v>9686.6</v>
      </c>
      <c r="DQ2" s="560">
        <v>9900.2000000000007</v>
      </c>
      <c r="DR2" s="560">
        <v>10002.200000000001</v>
      </c>
      <c r="DS2" s="560">
        <v>10247.700000000001</v>
      </c>
      <c r="DT2" s="560">
        <v>10318.200000000001</v>
      </c>
      <c r="DU2" s="560">
        <v>10435.700000000001</v>
      </c>
      <c r="DV2" s="560">
        <v>10470.200000000001</v>
      </c>
      <c r="DW2" s="560">
        <v>10599</v>
      </c>
      <c r="DX2" s="560">
        <v>10598</v>
      </c>
      <c r="DY2" s="560">
        <v>10660.5</v>
      </c>
      <c r="DZ2" s="560">
        <v>10783.5</v>
      </c>
      <c r="EA2" s="560">
        <v>10887.5</v>
      </c>
      <c r="EB2" s="560">
        <v>10984</v>
      </c>
      <c r="EC2" s="560">
        <v>11061.4</v>
      </c>
      <c r="ED2" s="560">
        <v>11174.1</v>
      </c>
      <c r="EE2" s="560">
        <v>11312.8</v>
      </c>
      <c r="EF2" s="560">
        <v>11566.7</v>
      </c>
      <c r="EG2" s="560">
        <v>11772.2</v>
      </c>
      <c r="EH2" s="560">
        <v>11923.4</v>
      </c>
      <c r="EI2" s="560">
        <v>12112.8</v>
      </c>
      <c r="EJ2" s="560">
        <v>12305.3</v>
      </c>
      <c r="EK2" s="560">
        <v>12527.2</v>
      </c>
      <c r="EL2" s="560">
        <v>12767.3</v>
      </c>
      <c r="EM2" s="560">
        <v>12922.7</v>
      </c>
      <c r="EN2" s="560">
        <v>13142.6</v>
      </c>
      <c r="EO2" s="560">
        <v>13324.2</v>
      </c>
      <c r="EP2" s="560">
        <v>13599.2</v>
      </c>
      <c r="EQ2" s="560">
        <v>13753.4</v>
      </c>
      <c r="ER2" s="560">
        <v>13870.2</v>
      </c>
      <c r="ES2" s="560">
        <v>14039.6</v>
      </c>
      <c r="ET2" s="560">
        <v>14215.7</v>
      </c>
      <c r="EU2" s="560">
        <v>14402.1</v>
      </c>
      <c r="EV2" s="560">
        <v>14564.1</v>
      </c>
      <c r="EW2" s="560">
        <v>14715.1</v>
      </c>
      <c r="EX2" s="560">
        <v>14706.5</v>
      </c>
      <c r="EY2" s="560">
        <v>14865.7</v>
      </c>
      <c r="EZ2" s="560">
        <v>14899</v>
      </c>
      <c r="FA2" s="560">
        <v>14608.2</v>
      </c>
      <c r="FB2" s="560">
        <v>14430.9</v>
      </c>
      <c r="FC2" s="560">
        <v>14381.2</v>
      </c>
      <c r="FD2" s="560">
        <v>14448.9</v>
      </c>
      <c r="FE2" s="560">
        <v>14651.2</v>
      </c>
      <c r="FF2" s="560">
        <v>14764.6</v>
      </c>
      <c r="FG2" s="560">
        <v>14980.2</v>
      </c>
      <c r="FH2" s="560">
        <v>15141.6</v>
      </c>
      <c r="FI2" s="560">
        <v>15309.5</v>
      </c>
      <c r="FJ2" s="560">
        <v>15351.4</v>
      </c>
      <c r="FK2" s="560">
        <v>15557.5</v>
      </c>
      <c r="FL2" s="560">
        <v>15647.7</v>
      </c>
      <c r="FM2" s="560">
        <v>15842.3</v>
      </c>
      <c r="FN2" s="560">
        <v>16068.8</v>
      </c>
      <c r="FO2" s="560">
        <v>16207.1</v>
      </c>
      <c r="FP2" s="560">
        <v>16319.5</v>
      </c>
      <c r="FQ2" s="560">
        <v>16420.400000000001</v>
      </c>
      <c r="FR2" s="560">
        <v>16629.099999999999</v>
      </c>
      <c r="FS2" s="560">
        <v>16699.599999999999</v>
      </c>
      <c r="FT2" s="560">
        <v>16911.099999999999</v>
      </c>
      <c r="FU2" s="560">
        <v>17133.099999999999</v>
      </c>
      <c r="FV2" s="560">
        <v>17144.3</v>
      </c>
      <c r="FW2" s="560">
        <v>17462.7</v>
      </c>
      <c r="FX2" s="560">
        <v>17743.2</v>
      </c>
      <c r="FY2" s="560">
        <v>17852.5</v>
      </c>
      <c r="FZ2" s="560">
        <v>17991.3</v>
      </c>
      <c r="GA2" s="560">
        <v>18193.7</v>
      </c>
      <c r="GB2" s="560">
        <v>18307</v>
      </c>
      <c r="GC2" s="560">
        <v>18332.099999999999</v>
      </c>
      <c r="GD2" s="560">
        <v>18425.3</v>
      </c>
      <c r="GE2" s="560">
        <v>18611.599999999999</v>
      </c>
      <c r="GF2" s="560">
        <v>18775.5</v>
      </c>
      <c r="GG2" s="560">
        <v>18968</v>
      </c>
      <c r="GH2" s="560">
        <v>19153.900000000001</v>
      </c>
      <c r="GI2" s="560">
        <v>19322.900000000001</v>
      </c>
      <c r="GJ2" s="560">
        <v>19558.7</v>
      </c>
      <c r="GK2" s="560">
        <v>19883</v>
      </c>
      <c r="GL2" s="560">
        <v>20143.7</v>
      </c>
      <c r="GM2" s="560">
        <v>20492.5</v>
      </c>
      <c r="GN2" s="560">
        <v>20659.099999999999</v>
      </c>
      <c r="GO2" s="560">
        <v>20813.3</v>
      </c>
      <c r="GP2" s="560">
        <v>21001.599999999999</v>
      </c>
      <c r="GQ2" s="560">
        <v>21289.3</v>
      </c>
      <c r="GR2" s="560">
        <v>21505</v>
      </c>
      <c r="GS2" s="560">
        <v>21694.5</v>
      </c>
      <c r="GT2" s="560">
        <v>21481.4</v>
      </c>
      <c r="GU2" s="560">
        <v>19477.400000000001</v>
      </c>
      <c r="GV2" s="560">
        <v>21138.6</v>
      </c>
      <c r="GW2" s="560">
        <v>21477.599999999999</v>
      </c>
      <c r="GX2" s="560">
        <v>22038.2</v>
      </c>
      <c r="GY2" s="560">
        <v>22731.4</v>
      </c>
    </row>
    <row r="3" spans="1:207">
      <c r="A3" s="560" t="s">
        <v>202</v>
      </c>
      <c r="B3" s="560">
        <v>4939.8</v>
      </c>
      <c r="C3" s="560">
        <v>4946.8</v>
      </c>
      <c r="D3" s="560">
        <v>4992.3999999999996</v>
      </c>
      <c r="E3" s="560">
        <v>4938.8999999999996</v>
      </c>
      <c r="F3" s="560">
        <v>5073</v>
      </c>
      <c r="G3" s="560">
        <v>5100.3999999999996</v>
      </c>
      <c r="H3" s="560">
        <v>5142.3999999999996</v>
      </c>
      <c r="I3" s="560">
        <v>5154.5</v>
      </c>
      <c r="J3" s="560">
        <v>5249.3</v>
      </c>
      <c r="K3" s="560">
        <v>5368.5</v>
      </c>
      <c r="L3" s="560">
        <v>5419.2</v>
      </c>
      <c r="M3" s="560">
        <v>5509.9</v>
      </c>
      <c r="N3" s="560">
        <v>5646.3</v>
      </c>
      <c r="O3" s="560">
        <v>5707.8</v>
      </c>
      <c r="P3" s="560">
        <v>5677.7</v>
      </c>
      <c r="Q3" s="560">
        <v>5731.6</v>
      </c>
      <c r="R3" s="560">
        <v>5682.4</v>
      </c>
      <c r="S3" s="560">
        <v>5695.9</v>
      </c>
      <c r="T3" s="560">
        <v>5642</v>
      </c>
      <c r="U3" s="560">
        <v>5620.1</v>
      </c>
      <c r="V3" s="560">
        <v>5551.7</v>
      </c>
      <c r="W3" s="560">
        <v>5591.4</v>
      </c>
      <c r="X3" s="560">
        <v>5687.1</v>
      </c>
      <c r="Y3" s="560">
        <v>5763.7</v>
      </c>
      <c r="Z3" s="560">
        <v>5893.3</v>
      </c>
      <c r="AA3" s="560">
        <v>5936.5</v>
      </c>
      <c r="AB3" s="560">
        <v>5969.1</v>
      </c>
      <c r="AC3" s="560">
        <v>6012.4</v>
      </c>
      <c r="AD3" s="560">
        <v>6083.4</v>
      </c>
      <c r="AE3" s="560">
        <v>6201.7</v>
      </c>
      <c r="AF3" s="560">
        <v>6313.6</v>
      </c>
      <c r="AG3" s="560">
        <v>6313.7</v>
      </c>
      <c r="AH3" s="560">
        <v>6333.8</v>
      </c>
      <c r="AI3" s="560">
        <v>6578.6</v>
      </c>
      <c r="AJ3" s="560">
        <v>6644.8</v>
      </c>
      <c r="AK3" s="560">
        <v>6734.1</v>
      </c>
      <c r="AL3" s="560">
        <v>6746.2</v>
      </c>
      <c r="AM3" s="560">
        <v>6753.4</v>
      </c>
      <c r="AN3" s="560">
        <v>6803.6</v>
      </c>
      <c r="AO3" s="560">
        <v>6820.6</v>
      </c>
      <c r="AP3" s="560">
        <v>6842</v>
      </c>
      <c r="AQ3" s="560">
        <v>6701</v>
      </c>
      <c r="AR3" s="560">
        <v>6693.1</v>
      </c>
      <c r="AS3" s="560">
        <v>6817.9</v>
      </c>
      <c r="AT3" s="560">
        <v>6951.5</v>
      </c>
      <c r="AU3" s="560">
        <v>6900</v>
      </c>
      <c r="AV3" s="560">
        <v>6982.6</v>
      </c>
      <c r="AW3" s="560">
        <v>6906.5</v>
      </c>
      <c r="AX3" s="560">
        <v>6799.2</v>
      </c>
      <c r="AY3" s="560">
        <v>6830.3</v>
      </c>
      <c r="AZ3" s="560">
        <v>6804.1</v>
      </c>
      <c r="BA3" s="560">
        <v>6806.9</v>
      </c>
      <c r="BB3" s="560">
        <v>6896.6</v>
      </c>
      <c r="BC3" s="560">
        <v>7053.5</v>
      </c>
      <c r="BD3" s="560">
        <v>7194.5</v>
      </c>
      <c r="BE3" s="560">
        <v>7344.6</v>
      </c>
      <c r="BF3" s="560">
        <v>7488.2</v>
      </c>
      <c r="BG3" s="560">
        <v>7617.5</v>
      </c>
      <c r="BH3" s="560">
        <v>7691</v>
      </c>
      <c r="BI3" s="560">
        <v>7754.1</v>
      </c>
      <c r="BJ3" s="560">
        <v>7829.3</v>
      </c>
      <c r="BK3" s="560">
        <v>7898.2</v>
      </c>
      <c r="BL3" s="560">
        <v>8018.8</v>
      </c>
      <c r="BM3" s="560">
        <v>8078.4</v>
      </c>
      <c r="BN3" s="560">
        <v>8153.8</v>
      </c>
      <c r="BO3" s="560">
        <v>8190.6</v>
      </c>
      <c r="BP3" s="560">
        <v>8268.9</v>
      </c>
      <c r="BQ3" s="560">
        <v>8313.2999999999993</v>
      </c>
      <c r="BR3" s="560">
        <v>8375.2999999999993</v>
      </c>
      <c r="BS3" s="560">
        <v>8465.6</v>
      </c>
      <c r="BT3" s="560">
        <v>8539.1</v>
      </c>
      <c r="BU3" s="560">
        <v>8685.7000000000007</v>
      </c>
      <c r="BV3" s="560">
        <v>8730.6</v>
      </c>
      <c r="BW3" s="560">
        <v>8845.2999999999993</v>
      </c>
      <c r="BX3" s="560">
        <v>8897.1</v>
      </c>
      <c r="BY3" s="560">
        <v>9015.7000000000007</v>
      </c>
      <c r="BZ3" s="560">
        <v>9107.2999999999993</v>
      </c>
      <c r="CA3" s="560">
        <v>9176.7999999999993</v>
      </c>
      <c r="CB3" s="560">
        <v>9244.7999999999993</v>
      </c>
      <c r="CC3" s="560">
        <v>9263</v>
      </c>
      <c r="CD3" s="560">
        <v>9364.2999999999993</v>
      </c>
      <c r="CE3" s="560">
        <v>9398.2000000000007</v>
      </c>
      <c r="CF3" s="560">
        <v>9404.5</v>
      </c>
      <c r="CG3" s="560">
        <v>9318.9</v>
      </c>
      <c r="CH3" s="560">
        <v>9275.2999999999993</v>
      </c>
      <c r="CI3" s="560">
        <v>9347.6</v>
      </c>
      <c r="CJ3" s="560">
        <v>9394.7999999999993</v>
      </c>
      <c r="CK3" s="560">
        <v>9427.6</v>
      </c>
      <c r="CL3" s="560">
        <v>9540.4</v>
      </c>
      <c r="CM3" s="560">
        <v>9643.9</v>
      </c>
      <c r="CN3" s="560">
        <v>9739.2000000000007</v>
      </c>
      <c r="CO3" s="560">
        <v>9840.7999999999993</v>
      </c>
      <c r="CP3" s="560">
        <v>9857.2000000000007</v>
      </c>
      <c r="CQ3" s="560">
        <v>9914.6</v>
      </c>
      <c r="CR3" s="560">
        <v>9961.9</v>
      </c>
      <c r="CS3" s="560">
        <v>10097.4</v>
      </c>
      <c r="CT3" s="560">
        <v>10195.299999999999</v>
      </c>
      <c r="CU3" s="560">
        <v>10333.5</v>
      </c>
      <c r="CV3" s="560">
        <v>10393.9</v>
      </c>
      <c r="CW3" s="560">
        <v>10513</v>
      </c>
      <c r="CX3" s="560">
        <v>10550.3</v>
      </c>
      <c r="CY3" s="560">
        <v>10581.7</v>
      </c>
      <c r="CZ3" s="560">
        <v>10671.7</v>
      </c>
      <c r="DA3" s="560">
        <v>10744.2</v>
      </c>
      <c r="DB3" s="560">
        <v>10824.7</v>
      </c>
      <c r="DC3" s="560">
        <v>11005.2</v>
      </c>
      <c r="DD3" s="560">
        <v>11103.9</v>
      </c>
      <c r="DE3" s="560">
        <v>11219.2</v>
      </c>
      <c r="DF3" s="560">
        <v>11291.7</v>
      </c>
      <c r="DG3" s="560">
        <v>11479.3</v>
      </c>
      <c r="DH3" s="560">
        <v>11622.9</v>
      </c>
      <c r="DI3" s="560">
        <v>11722.7</v>
      </c>
      <c r="DJ3" s="560">
        <v>11839.9</v>
      </c>
      <c r="DK3" s="560">
        <v>11949.5</v>
      </c>
      <c r="DL3" s="560">
        <v>12099.2</v>
      </c>
      <c r="DM3" s="560">
        <v>12294.7</v>
      </c>
      <c r="DN3" s="560">
        <v>12410.8</v>
      </c>
      <c r="DO3" s="560">
        <v>12514.4</v>
      </c>
      <c r="DP3" s="560">
        <v>12680</v>
      </c>
      <c r="DQ3" s="560">
        <v>12888.3</v>
      </c>
      <c r="DR3" s="560">
        <v>12935.3</v>
      </c>
      <c r="DS3" s="560">
        <v>13170.7</v>
      </c>
      <c r="DT3" s="560">
        <v>13183.9</v>
      </c>
      <c r="DU3" s="560">
        <v>13262.3</v>
      </c>
      <c r="DV3" s="560">
        <v>13219.3</v>
      </c>
      <c r="DW3" s="560">
        <v>13301.4</v>
      </c>
      <c r="DX3" s="560">
        <v>13248.1</v>
      </c>
      <c r="DY3" s="560">
        <v>13284.9</v>
      </c>
      <c r="DZ3" s="560">
        <v>13394.9</v>
      </c>
      <c r="EA3" s="560">
        <v>13477.4</v>
      </c>
      <c r="EB3" s="560">
        <v>13531.7</v>
      </c>
      <c r="EC3" s="560">
        <v>13549.4</v>
      </c>
      <c r="ED3" s="560">
        <v>13619.4</v>
      </c>
      <c r="EE3" s="560">
        <v>13741.1</v>
      </c>
      <c r="EF3" s="560">
        <v>13970.2</v>
      </c>
      <c r="EG3" s="560">
        <v>14131.4</v>
      </c>
      <c r="EH3" s="560">
        <v>14212.3</v>
      </c>
      <c r="EI3" s="560">
        <v>14323</v>
      </c>
      <c r="EJ3" s="560">
        <v>14457.8</v>
      </c>
      <c r="EK3" s="560">
        <v>14605.6</v>
      </c>
      <c r="EL3" s="560">
        <v>14767.8</v>
      </c>
      <c r="EM3" s="560">
        <v>14839.7</v>
      </c>
      <c r="EN3" s="560">
        <v>14956.3</v>
      </c>
      <c r="EO3" s="560">
        <v>15041.2</v>
      </c>
      <c r="EP3" s="560">
        <v>15244.1</v>
      </c>
      <c r="EQ3" s="560">
        <v>15281.5</v>
      </c>
      <c r="ER3" s="560">
        <v>15304.5</v>
      </c>
      <c r="ES3" s="560">
        <v>15433.6</v>
      </c>
      <c r="ET3" s="560">
        <v>15479</v>
      </c>
      <c r="EU3" s="560">
        <v>15577.8</v>
      </c>
      <c r="EV3" s="560">
        <v>15671.6</v>
      </c>
      <c r="EW3" s="560">
        <v>15767.1</v>
      </c>
      <c r="EX3" s="560">
        <v>15702.9</v>
      </c>
      <c r="EY3" s="560">
        <v>15792.8</v>
      </c>
      <c r="EZ3" s="560">
        <v>15709.6</v>
      </c>
      <c r="FA3" s="560">
        <v>15366.6</v>
      </c>
      <c r="FB3" s="560">
        <v>15187.5</v>
      </c>
      <c r="FC3" s="560">
        <v>15161.8</v>
      </c>
      <c r="FD3" s="560">
        <v>15216.6</v>
      </c>
      <c r="FE3" s="560">
        <v>15379.2</v>
      </c>
      <c r="FF3" s="560">
        <v>15456.1</v>
      </c>
      <c r="FG3" s="560">
        <v>15605.6</v>
      </c>
      <c r="FH3" s="560">
        <v>15726.3</v>
      </c>
      <c r="FI3" s="560">
        <v>15808</v>
      </c>
      <c r="FJ3" s="560">
        <v>15769.9</v>
      </c>
      <c r="FK3" s="560">
        <v>15876.8</v>
      </c>
      <c r="FL3" s="560">
        <v>15870.7</v>
      </c>
      <c r="FM3" s="560">
        <v>16048.7</v>
      </c>
      <c r="FN3" s="560">
        <v>16180</v>
      </c>
      <c r="FO3" s="560">
        <v>16253.7</v>
      </c>
      <c r="FP3" s="560">
        <v>16282.2</v>
      </c>
      <c r="FQ3" s="560">
        <v>16300</v>
      </c>
      <c r="FR3" s="560">
        <v>16441.5</v>
      </c>
      <c r="FS3" s="560">
        <v>16464.400000000001</v>
      </c>
      <c r="FT3" s="560">
        <v>16594.7</v>
      </c>
      <c r="FU3" s="560">
        <v>16712.8</v>
      </c>
      <c r="FV3" s="560">
        <v>16654.2</v>
      </c>
      <c r="FW3" s="560">
        <v>16868.099999999999</v>
      </c>
      <c r="FX3" s="560">
        <v>17064.599999999999</v>
      </c>
      <c r="FY3" s="560">
        <v>17141.2</v>
      </c>
      <c r="FZ3" s="560">
        <v>17280.599999999999</v>
      </c>
      <c r="GA3" s="560">
        <v>17380.900000000001</v>
      </c>
      <c r="GB3" s="560">
        <v>17437.099999999999</v>
      </c>
      <c r="GC3" s="560">
        <v>17462.599999999999</v>
      </c>
      <c r="GD3" s="560">
        <v>17565.5</v>
      </c>
      <c r="GE3" s="560">
        <v>17618.599999999999</v>
      </c>
      <c r="GF3" s="560">
        <v>17724.5</v>
      </c>
      <c r="GG3" s="560">
        <v>17812.599999999999</v>
      </c>
      <c r="GH3" s="560">
        <v>17896.599999999999</v>
      </c>
      <c r="GI3" s="560">
        <v>17996.8</v>
      </c>
      <c r="GJ3" s="560">
        <v>18126.2</v>
      </c>
      <c r="GK3" s="560">
        <v>18296.7</v>
      </c>
      <c r="GL3" s="560">
        <v>18436.3</v>
      </c>
      <c r="GM3" s="560">
        <v>18590</v>
      </c>
      <c r="GN3" s="560">
        <v>18679.599999999999</v>
      </c>
      <c r="GO3" s="560">
        <v>18721.3</v>
      </c>
      <c r="GP3" s="560">
        <v>18833.2</v>
      </c>
      <c r="GQ3" s="560">
        <v>18982.5</v>
      </c>
      <c r="GR3" s="560">
        <v>19112.7</v>
      </c>
      <c r="GS3" s="560">
        <v>19202.3</v>
      </c>
      <c r="GT3" s="560">
        <v>18952</v>
      </c>
      <c r="GU3" s="560">
        <v>17258.2</v>
      </c>
      <c r="GV3" s="560">
        <v>18560.8</v>
      </c>
      <c r="GW3" s="560">
        <v>18767.8</v>
      </c>
      <c r="GX3" s="560">
        <v>19055.7</v>
      </c>
      <c r="GY3" s="560">
        <v>19360.599999999999</v>
      </c>
    </row>
    <row r="4" spans="1:207">
      <c r="A4" s="560" t="s">
        <v>203</v>
      </c>
      <c r="B4" s="560">
        <v>21.271999999999998</v>
      </c>
      <c r="C4" s="560">
        <v>21.579000000000001</v>
      </c>
      <c r="D4" s="560">
        <v>21.756</v>
      </c>
      <c r="E4" s="560">
        <v>22.041</v>
      </c>
      <c r="F4" s="560">
        <v>22.375</v>
      </c>
      <c r="G4" s="560">
        <v>22.673999999999999</v>
      </c>
      <c r="H4" s="560">
        <v>22.902999999999999</v>
      </c>
      <c r="I4" s="560">
        <v>23.091999999999999</v>
      </c>
      <c r="J4" s="560">
        <v>23.463000000000001</v>
      </c>
      <c r="K4" s="560">
        <v>23.606000000000002</v>
      </c>
      <c r="L4" s="560">
        <v>23.82</v>
      </c>
      <c r="M4" s="560">
        <v>24.09</v>
      </c>
      <c r="N4" s="560">
        <v>24.396000000000001</v>
      </c>
      <c r="O4" s="560">
        <v>24.8</v>
      </c>
      <c r="P4" s="560">
        <v>25.273</v>
      </c>
      <c r="Q4" s="560">
        <v>25.710999999999999</v>
      </c>
      <c r="R4" s="560">
        <v>26.231999999999999</v>
      </c>
      <c r="S4" s="560">
        <v>26.815000000000001</v>
      </c>
      <c r="T4" s="560">
        <v>27.640999999999998</v>
      </c>
      <c r="U4" s="560">
        <v>28.478999999999999</v>
      </c>
      <c r="V4" s="560">
        <v>29.123999999999999</v>
      </c>
      <c r="W4" s="560">
        <v>29.545999999999999</v>
      </c>
      <c r="X4" s="560">
        <v>30.068000000000001</v>
      </c>
      <c r="Y4" s="560">
        <v>30.57</v>
      </c>
      <c r="Z4" s="560">
        <v>30.905000000000001</v>
      </c>
      <c r="AA4" s="560">
        <v>31.213000000000001</v>
      </c>
      <c r="AB4" s="560">
        <v>31.611000000000001</v>
      </c>
      <c r="AC4" s="560">
        <v>32.148000000000003</v>
      </c>
      <c r="AD4" s="560">
        <v>32.667999999999999</v>
      </c>
      <c r="AE4" s="560">
        <v>33.183999999999997</v>
      </c>
      <c r="AF4" s="560">
        <v>33.640999999999998</v>
      </c>
      <c r="AG4" s="560">
        <v>34.203000000000003</v>
      </c>
      <c r="AH4" s="560">
        <v>34.762999999999998</v>
      </c>
      <c r="AI4" s="560">
        <v>35.457000000000001</v>
      </c>
      <c r="AJ4" s="560">
        <v>36.082999999999998</v>
      </c>
      <c r="AK4" s="560">
        <v>36.795999999999999</v>
      </c>
      <c r="AL4" s="560">
        <v>37.482999999999997</v>
      </c>
      <c r="AM4" s="560">
        <v>38.387999999999998</v>
      </c>
      <c r="AN4" s="560">
        <v>39.19</v>
      </c>
      <c r="AO4" s="560">
        <v>39.905000000000001</v>
      </c>
      <c r="AP4" s="560">
        <v>40.777000000000001</v>
      </c>
      <c r="AQ4" s="560">
        <v>41.744999999999997</v>
      </c>
      <c r="AR4" s="560">
        <v>42.676000000000002</v>
      </c>
      <c r="AS4" s="560">
        <v>43.807000000000002</v>
      </c>
      <c r="AT4" s="560">
        <v>44.968000000000004</v>
      </c>
      <c r="AU4" s="560">
        <v>45.813000000000002</v>
      </c>
      <c r="AV4" s="560">
        <v>46.703000000000003</v>
      </c>
      <c r="AW4" s="560">
        <v>47.475000000000001</v>
      </c>
      <c r="AX4" s="560">
        <v>48.155000000000001</v>
      </c>
      <c r="AY4" s="560">
        <v>48.795000000000002</v>
      </c>
      <c r="AZ4" s="560">
        <v>49.472000000000001</v>
      </c>
      <c r="BA4" s="560">
        <v>49.972999999999999</v>
      </c>
      <c r="BB4" s="560">
        <v>50.372</v>
      </c>
      <c r="BC4" s="560">
        <v>50.746000000000002</v>
      </c>
      <c r="BD4" s="560">
        <v>51.284999999999997</v>
      </c>
      <c r="BE4" s="560">
        <v>51.668999999999997</v>
      </c>
      <c r="BF4" s="560">
        <v>52.177999999999997</v>
      </c>
      <c r="BG4" s="560">
        <v>52.646999999999998</v>
      </c>
      <c r="BH4" s="560">
        <v>53.122</v>
      </c>
      <c r="BI4" s="560">
        <v>53.494</v>
      </c>
      <c r="BJ4" s="560">
        <v>54.040999999999997</v>
      </c>
      <c r="BK4" s="560">
        <v>54.360999999999997</v>
      </c>
      <c r="BL4" s="560">
        <v>54.722000000000001</v>
      </c>
      <c r="BM4" s="560">
        <v>55.006</v>
      </c>
      <c r="BN4" s="560">
        <v>55.277999999999999</v>
      </c>
      <c r="BO4" s="560">
        <v>55.472000000000001</v>
      </c>
      <c r="BP4" s="560">
        <v>55.734999999999999</v>
      </c>
      <c r="BQ4" s="560">
        <v>56.066000000000003</v>
      </c>
      <c r="BR4" s="560">
        <v>56.390999999999998</v>
      </c>
      <c r="BS4" s="560">
        <v>56.774000000000001</v>
      </c>
      <c r="BT4" s="560">
        <v>57.212000000000003</v>
      </c>
      <c r="BU4" s="560">
        <v>57.640999999999998</v>
      </c>
      <c r="BV4" s="560">
        <v>58.087000000000003</v>
      </c>
      <c r="BW4" s="560">
        <v>58.667000000000002</v>
      </c>
      <c r="BX4" s="560">
        <v>59.384999999999998</v>
      </c>
      <c r="BY4" s="560">
        <v>59.932000000000002</v>
      </c>
      <c r="BZ4" s="560">
        <v>60.508000000000003</v>
      </c>
      <c r="CA4" s="560">
        <v>61.162999999999997</v>
      </c>
      <c r="CB4" s="560">
        <v>61.616999999999997</v>
      </c>
      <c r="CC4" s="560">
        <v>62.036999999999999</v>
      </c>
      <c r="CD4" s="560">
        <v>62.713000000000001</v>
      </c>
      <c r="CE4" s="560">
        <v>63.414999999999999</v>
      </c>
      <c r="CF4" s="560">
        <v>63.963000000000001</v>
      </c>
      <c r="CG4" s="560">
        <v>64.451999999999998</v>
      </c>
      <c r="CH4" s="560">
        <v>65.078000000000003</v>
      </c>
      <c r="CI4" s="560">
        <v>65.546999999999997</v>
      </c>
      <c r="CJ4" s="560">
        <v>66.05</v>
      </c>
      <c r="CK4" s="560">
        <v>66.433999999999997</v>
      </c>
      <c r="CL4" s="560">
        <v>66.7</v>
      </c>
      <c r="CM4" s="560">
        <v>67.097999999999999</v>
      </c>
      <c r="CN4" s="560">
        <v>67.418999999999997</v>
      </c>
      <c r="CO4" s="560">
        <v>67.894000000000005</v>
      </c>
      <c r="CP4" s="560">
        <v>68.298000000000002</v>
      </c>
      <c r="CQ4" s="560">
        <v>68.700999999999993</v>
      </c>
      <c r="CR4" s="560">
        <v>69.046000000000006</v>
      </c>
      <c r="CS4" s="560">
        <v>69.451999999999998</v>
      </c>
      <c r="CT4" s="560">
        <v>69.807000000000002</v>
      </c>
      <c r="CU4" s="560">
        <v>70.14</v>
      </c>
      <c r="CV4" s="560">
        <v>70.513999999999996</v>
      </c>
      <c r="CW4" s="560">
        <v>70.906999999999996</v>
      </c>
      <c r="CX4" s="560">
        <v>71.311000000000007</v>
      </c>
      <c r="CY4" s="560">
        <v>71.661000000000001</v>
      </c>
      <c r="CZ4" s="560">
        <v>71.981999999999999</v>
      </c>
      <c r="DA4" s="560">
        <v>72.322000000000003</v>
      </c>
      <c r="DB4" s="560">
        <v>72.655000000000001</v>
      </c>
      <c r="DC4" s="560">
        <v>72.951999999999998</v>
      </c>
      <c r="DD4" s="560">
        <v>73.305999999999997</v>
      </c>
      <c r="DE4" s="560">
        <v>73.616</v>
      </c>
      <c r="DF4" s="560">
        <v>73.945999999999998</v>
      </c>
      <c r="DG4" s="560">
        <v>74.313999999999993</v>
      </c>
      <c r="DH4" s="560">
        <v>74.534999999999997</v>
      </c>
      <c r="DI4" s="560">
        <v>74.802000000000007</v>
      </c>
      <c r="DJ4" s="560">
        <v>74.878</v>
      </c>
      <c r="DK4" s="560">
        <v>75.072000000000003</v>
      </c>
      <c r="DL4" s="560">
        <v>75.363</v>
      </c>
      <c r="DM4" s="560">
        <v>75.564999999999998</v>
      </c>
      <c r="DN4" s="560">
        <v>75.769000000000005</v>
      </c>
      <c r="DO4" s="560">
        <v>76.111999999999995</v>
      </c>
      <c r="DP4" s="560">
        <v>76.403999999999996</v>
      </c>
      <c r="DQ4" s="560">
        <v>76.805999999999997</v>
      </c>
      <c r="DR4" s="560">
        <v>77.317999999999998</v>
      </c>
      <c r="DS4" s="560">
        <v>77.783000000000001</v>
      </c>
      <c r="DT4" s="560">
        <v>78.27</v>
      </c>
      <c r="DU4" s="560">
        <v>78.694000000000003</v>
      </c>
      <c r="DV4" s="560">
        <v>79.233000000000004</v>
      </c>
      <c r="DW4" s="560">
        <v>79.760999999999996</v>
      </c>
      <c r="DX4" s="560">
        <v>80.003</v>
      </c>
      <c r="DY4" s="560">
        <v>80.260999999999996</v>
      </c>
      <c r="DZ4" s="560">
        <v>80.474999999999994</v>
      </c>
      <c r="EA4" s="560">
        <v>80.793999999999997</v>
      </c>
      <c r="EB4" s="560">
        <v>81.155000000000001</v>
      </c>
      <c r="EC4" s="560">
        <v>81.626999999999995</v>
      </c>
      <c r="ED4" s="560">
        <v>82.067999999999998</v>
      </c>
      <c r="EE4" s="560">
        <v>82.349000000000004</v>
      </c>
      <c r="EF4" s="560">
        <v>82.822000000000003</v>
      </c>
      <c r="EG4" s="560">
        <v>83.302000000000007</v>
      </c>
      <c r="EH4" s="560">
        <v>83.899000000000001</v>
      </c>
      <c r="EI4" s="560">
        <v>84.58</v>
      </c>
      <c r="EJ4" s="560">
        <v>85.116</v>
      </c>
      <c r="EK4" s="560">
        <v>85.772000000000006</v>
      </c>
      <c r="EL4" s="560">
        <v>86.43</v>
      </c>
      <c r="EM4" s="560">
        <v>87.061999999999998</v>
      </c>
      <c r="EN4" s="560">
        <v>87.884</v>
      </c>
      <c r="EO4" s="560">
        <v>88.584000000000003</v>
      </c>
      <c r="EP4" s="560">
        <v>89.203999999999994</v>
      </c>
      <c r="EQ4" s="560">
        <v>89.992999999999995</v>
      </c>
      <c r="ER4" s="560">
        <v>90.652000000000001</v>
      </c>
      <c r="ES4" s="560">
        <v>90.997</v>
      </c>
      <c r="ET4" s="560">
        <v>91.908000000000001</v>
      </c>
      <c r="EU4" s="560">
        <v>92.491</v>
      </c>
      <c r="EV4" s="560">
        <v>92.882000000000005</v>
      </c>
      <c r="EW4" s="560">
        <v>93.331999999999994</v>
      </c>
      <c r="EX4" s="560">
        <v>93.734999999999999</v>
      </c>
      <c r="EY4" s="560">
        <v>94.075000000000003</v>
      </c>
      <c r="EZ4" s="560">
        <v>94.804000000000002</v>
      </c>
      <c r="FA4" s="560">
        <v>94.974999999999994</v>
      </c>
      <c r="FB4" s="560">
        <v>95.001000000000005</v>
      </c>
      <c r="FC4" s="560">
        <v>94.87</v>
      </c>
      <c r="FD4" s="560">
        <v>94.927999999999997</v>
      </c>
      <c r="FE4" s="560">
        <v>95.277000000000001</v>
      </c>
      <c r="FF4" s="560">
        <v>95.518000000000001</v>
      </c>
      <c r="FG4" s="560">
        <v>95.962999999999994</v>
      </c>
      <c r="FH4" s="560">
        <v>96.311999999999998</v>
      </c>
      <c r="FI4" s="560">
        <v>96.864000000000004</v>
      </c>
      <c r="FJ4" s="560">
        <v>97.338999999999999</v>
      </c>
      <c r="FK4" s="560">
        <v>98.042000000000002</v>
      </c>
      <c r="FL4" s="560">
        <v>98.561000000000007</v>
      </c>
      <c r="FM4" s="560">
        <v>98.686999999999998</v>
      </c>
      <c r="FN4" s="560">
        <v>99.277000000000001</v>
      </c>
      <c r="FO4" s="560">
        <v>99.69</v>
      </c>
      <c r="FP4" s="560">
        <v>100.304</v>
      </c>
      <c r="FQ4" s="560">
        <v>100.73</v>
      </c>
      <c r="FR4" s="560">
        <v>101.124</v>
      </c>
      <c r="FS4" s="560">
        <v>101.428</v>
      </c>
      <c r="FT4" s="560">
        <v>101.973</v>
      </c>
      <c r="FU4" s="560">
        <v>102.55</v>
      </c>
      <c r="FV4" s="560">
        <v>102.965</v>
      </c>
      <c r="FW4" s="560">
        <v>103.55200000000001</v>
      </c>
      <c r="FX4" s="560">
        <v>104.029</v>
      </c>
      <c r="FY4" s="560">
        <v>104.104</v>
      </c>
      <c r="FZ4" s="560">
        <v>104.092</v>
      </c>
      <c r="GA4" s="560">
        <v>104.68300000000001</v>
      </c>
      <c r="GB4" s="560">
        <v>104.93899999999999</v>
      </c>
      <c r="GC4" s="560">
        <v>104.932</v>
      </c>
      <c r="GD4" s="560">
        <v>104.873</v>
      </c>
      <c r="GE4" s="560">
        <v>105.57599999999999</v>
      </c>
      <c r="GF4" s="560">
        <v>105.89400000000001</v>
      </c>
      <c r="GG4" s="560">
        <v>106.47</v>
      </c>
      <c r="GH4" s="560">
        <v>107.00700000000001</v>
      </c>
      <c r="GI4" s="560">
        <v>107.361</v>
      </c>
      <c r="GJ4" s="560">
        <v>107.94199999999999</v>
      </c>
      <c r="GK4" s="560">
        <v>108.658</v>
      </c>
      <c r="GL4" s="560">
        <v>109.312</v>
      </c>
      <c r="GM4" s="560">
        <v>110.15600000000001</v>
      </c>
      <c r="GN4" s="560">
        <v>110.64700000000001</v>
      </c>
      <c r="GO4" s="560">
        <v>111.191</v>
      </c>
      <c r="GP4" s="560">
        <v>111.502</v>
      </c>
      <c r="GQ4" s="560">
        <v>112.142</v>
      </c>
      <c r="GR4" s="560">
        <v>112.524</v>
      </c>
      <c r="GS4" s="560">
        <v>112.947</v>
      </c>
      <c r="GT4" s="560">
        <v>113.39700000000001</v>
      </c>
      <c r="GU4" s="560">
        <v>112.96899999999999</v>
      </c>
      <c r="GV4" s="560">
        <v>113.98399999999999</v>
      </c>
      <c r="GW4" s="560">
        <v>114.611</v>
      </c>
      <c r="GX4" s="560">
        <v>115.82599999999999</v>
      </c>
      <c r="GY4" s="560">
        <v>117.547</v>
      </c>
    </row>
    <row r="5" spans="1:207">
      <c r="A5" s="560" t="s">
        <v>204</v>
      </c>
      <c r="B5" s="560">
        <v>631.70000000000005</v>
      </c>
      <c r="C5" s="560">
        <v>641.6</v>
      </c>
      <c r="D5" s="560">
        <v>653.5</v>
      </c>
      <c r="E5" s="560">
        <v>660.2</v>
      </c>
      <c r="F5" s="560">
        <v>679.2</v>
      </c>
      <c r="G5" s="560">
        <v>693.2</v>
      </c>
      <c r="H5" s="560">
        <v>705.6</v>
      </c>
      <c r="I5" s="560">
        <v>721.7</v>
      </c>
      <c r="J5" s="560">
        <v>738.9</v>
      </c>
      <c r="K5" s="560">
        <v>757.4</v>
      </c>
      <c r="L5" s="560">
        <v>775.8</v>
      </c>
      <c r="M5" s="560">
        <v>800.5</v>
      </c>
      <c r="N5" s="560">
        <v>825</v>
      </c>
      <c r="O5" s="560">
        <v>840.5</v>
      </c>
      <c r="P5" s="560">
        <v>858.9</v>
      </c>
      <c r="Q5" s="560">
        <v>873.9</v>
      </c>
      <c r="R5" s="560">
        <v>891.9</v>
      </c>
      <c r="S5" s="560">
        <v>920.4</v>
      </c>
      <c r="T5" s="560">
        <v>949.3</v>
      </c>
      <c r="U5" s="560">
        <v>959.1</v>
      </c>
      <c r="V5" s="560">
        <v>985.2</v>
      </c>
      <c r="W5" s="560">
        <v>1013.6</v>
      </c>
      <c r="X5" s="560">
        <v>1047.2</v>
      </c>
      <c r="Y5" s="560">
        <v>1076.2</v>
      </c>
      <c r="Z5" s="560">
        <v>1109.9000000000001</v>
      </c>
      <c r="AA5" s="560">
        <v>1129.5</v>
      </c>
      <c r="AB5" s="560">
        <v>1158.8</v>
      </c>
      <c r="AC5" s="560">
        <v>1192.4000000000001</v>
      </c>
      <c r="AD5" s="560">
        <v>1228.2</v>
      </c>
      <c r="AE5" s="560">
        <v>1256</v>
      </c>
      <c r="AF5" s="560">
        <v>1286.9000000000001</v>
      </c>
      <c r="AG5" s="560">
        <v>1324.8</v>
      </c>
      <c r="AH5" s="560">
        <v>1354.1</v>
      </c>
      <c r="AI5" s="560">
        <v>1411.4</v>
      </c>
      <c r="AJ5" s="560">
        <v>1442.2</v>
      </c>
      <c r="AK5" s="560">
        <v>1481.4</v>
      </c>
      <c r="AL5" s="560">
        <v>1517.1</v>
      </c>
      <c r="AM5" s="560">
        <v>1557.6</v>
      </c>
      <c r="AN5" s="560">
        <v>1611.9</v>
      </c>
      <c r="AO5" s="560">
        <v>1655</v>
      </c>
      <c r="AP5" s="560">
        <v>1702.3</v>
      </c>
      <c r="AQ5" s="560">
        <v>1704.7</v>
      </c>
      <c r="AR5" s="560">
        <v>1763.8</v>
      </c>
      <c r="AS5" s="560">
        <v>1831.9</v>
      </c>
      <c r="AT5" s="560">
        <v>1885.7</v>
      </c>
      <c r="AU5" s="560">
        <v>1917.5</v>
      </c>
      <c r="AV5" s="560">
        <v>1958.1</v>
      </c>
      <c r="AW5" s="560">
        <v>1974.4</v>
      </c>
      <c r="AX5" s="560">
        <v>2014.2</v>
      </c>
      <c r="AY5" s="560">
        <v>2039.6</v>
      </c>
      <c r="AZ5" s="560">
        <v>2085.6999999999998</v>
      </c>
      <c r="BA5" s="560">
        <v>2145.6</v>
      </c>
      <c r="BB5" s="560">
        <v>2184.6</v>
      </c>
      <c r="BC5" s="560">
        <v>2249.4</v>
      </c>
      <c r="BD5" s="560">
        <v>2319.9</v>
      </c>
      <c r="BE5" s="560">
        <v>2372.5</v>
      </c>
      <c r="BF5" s="560">
        <v>2418.1999999999998</v>
      </c>
      <c r="BG5" s="560">
        <v>2475.9</v>
      </c>
      <c r="BH5" s="560">
        <v>2513.5</v>
      </c>
      <c r="BI5" s="560">
        <v>2561.8000000000002</v>
      </c>
      <c r="BJ5" s="560">
        <v>2636</v>
      </c>
      <c r="BK5" s="560">
        <v>2681.8</v>
      </c>
      <c r="BL5" s="560">
        <v>2754.1</v>
      </c>
      <c r="BM5" s="560">
        <v>2779.4</v>
      </c>
      <c r="BN5" s="560">
        <v>2823.6</v>
      </c>
      <c r="BO5" s="560">
        <v>2851.5</v>
      </c>
      <c r="BP5" s="560">
        <v>2917.2</v>
      </c>
      <c r="BQ5" s="560">
        <v>2952.8</v>
      </c>
      <c r="BR5" s="560">
        <v>2983.5</v>
      </c>
      <c r="BS5" s="560">
        <v>3053.3</v>
      </c>
      <c r="BT5" s="560">
        <v>3117.4</v>
      </c>
      <c r="BU5" s="560">
        <v>3150.9</v>
      </c>
      <c r="BV5" s="560">
        <v>3231.9</v>
      </c>
      <c r="BW5" s="560">
        <v>3291.7</v>
      </c>
      <c r="BX5" s="560">
        <v>3361.9</v>
      </c>
      <c r="BY5" s="560">
        <v>3434.5</v>
      </c>
      <c r="BZ5" s="560">
        <v>3490.2</v>
      </c>
      <c r="CA5" s="560">
        <v>3553.8</v>
      </c>
      <c r="CB5" s="560">
        <v>3609.4</v>
      </c>
      <c r="CC5" s="560">
        <v>3653.7</v>
      </c>
      <c r="CD5" s="560">
        <v>3737.9</v>
      </c>
      <c r="CE5" s="560">
        <v>3783.4</v>
      </c>
      <c r="CF5" s="560">
        <v>3846.7</v>
      </c>
      <c r="CG5" s="560">
        <v>3867.9</v>
      </c>
      <c r="CH5" s="560">
        <v>3873.6</v>
      </c>
      <c r="CI5" s="560">
        <v>3926.9</v>
      </c>
      <c r="CJ5" s="560">
        <v>3973.3</v>
      </c>
      <c r="CK5" s="560">
        <v>4000</v>
      </c>
      <c r="CL5" s="560">
        <v>4100.3999999999996</v>
      </c>
      <c r="CM5" s="560">
        <v>4155.7</v>
      </c>
      <c r="CN5" s="560">
        <v>4227</v>
      </c>
      <c r="CO5" s="560">
        <v>4307.2</v>
      </c>
      <c r="CP5" s="560">
        <v>4349.5</v>
      </c>
      <c r="CQ5" s="560">
        <v>4418.6000000000004</v>
      </c>
      <c r="CR5" s="560">
        <v>4487.2</v>
      </c>
      <c r="CS5" s="560">
        <v>4552.7</v>
      </c>
      <c r="CT5" s="560">
        <v>4621.2</v>
      </c>
      <c r="CU5" s="560">
        <v>4683.2</v>
      </c>
      <c r="CV5" s="560">
        <v>4752.8</v>
      </c>
      <c r="CW5" s="560">
        <v>4826.7</v>
      </c>
      <c r="CX5" s="560">
        <v>4862.3999999999996</v>
      </c>
      <c r="CY5" s="560">
        <v>4933.6000000000004</v>
      </c>
      <c r="CZ5" s="560">
        <v>4998.7</v>
      </c>
      <c r="DA5" s="560">
        <v>5055.7</v>
      </c>
      <c r="DB5" s="560">
        <v>5130.6000000000004</v>
      </c>
      <c r="DC5" s="560">
        <v>5220.5</v>
      </c>
      <c r="DD5" s="560">
        <v>5274.5</v>
      </c>
      <c r="DE5" s="560">
        <v>5352.8</v>
      </c>
      <c r="DF5" s="560">
        <v>5433.1</v>
      </c>
      <c r="DG5" s="560">
        <v>5471.3</v>
      </c>
      <c r="DH5" s="560">
        <v>5579.2</v>
      </c>
      <c r="DI5" s="560">
        <v>5663.6</v>
      </c>
      <c r="DJ5" s="560">
        <v>5721.3</v>
      </c>
      <c r="DK5" s="560">
        <v>5832.6</v>
      </c>
      <c r="DL5" s="560">
        <v>5926.8</v>
      </c>
      <c r="DM5" s="560">
        <v>6028.2</v>
      </c>
      <c r="DN5" s="560">
        <v>6102</v>
      </c>
      <c r="DO5" s="560">
        <v>6230.6</v>
      </c>
      <c r="DP5" s="560">
        <v>6335.3</v>
      </c>
      <c r="DQ5" s="560">
        <v>6467</v>
      </c>
      <c r="DR5" s="560">
        <v>6618.2</v>
      </c>
      <c r="DS5" s="560">
        <v>6711.9</v>
      </c>
      <c r="DT5" s="560">
        <v>6820</v>
      </c>
      <c r="DU5" s="560">
        <v>6918.6</v>
      </c>
      <c r="DV5" s="560">
        <v>6995.3</v>
      </c>
      <c r="DW5" s="560">
        <v>7042.3</v>
      </c>
      <c r="DX5" s="560">
        <v>7070.3</v>
      </c>
      <c r="DY5" s="560">
        <v>7187.3</v>
      </c>
      <c r="DZ5" s="560">
        <v>7217.7</v>
      </c>
      <c r="EA5" s="560">
        <v>7308</v>
      </c>
      <c r="EB5" s="560">
        <v>7397.1</v>
      </c>
      <c r="EC5" s="560">
        <v>7473</v>
      </c>
      <c r="ED5" s="560">
        <v>7567.2</v>
      </c>
      <c r="EE5" s="560">
        <v>7661.5</v>
      </c>
      <c r="EF5" s="560">
        <v>7820.9</v>
      </c>
      <c r="EG5" s="560">
        <v>7913.5</v>
      </c>
      <c r="EH5" s="560">
        <v>8048.8</v>
      </c>
      <c r="EI5" s="560">
        <v>8147.1</v>
      </c>
      <c r="EJ5" s="560">
        <v>8283.2999999999993</v>
      </c>
      <c r="EK5" s="560">
        <v>8448.6</v>
      </c>
      <c r="EL5" s="560">
        <v>8551.7000000000007</v>
      </c>
      <c r="EM5" s="560">
        <v>8701.1</v>
      </c>
      <c r="EN5" s="560">
        <v>8868.1</v>
      </c>
      <c r="EO5" s="560">
        <v>8955.2999999999993</v>
      </c>
      <c r="EP5" s="560">
        <v>9100.2000000000007</v>
      </c>
      <c r="EQ5" s="560">
        <v>9227.6</v>
      </c>
      <c r="ER5" s="560">
        <v>9353.7999999999993</v>
      </c>
      <c r="ES5" s="560">
        <v>9427.4</v>
      </c>
      <c r="ET5" s="560">
        <v>9572.1</v>
      </c>
      <c r="EU5" s="560">
        <v>9678.7000000000007</v>
      </c>
      <c r="EV5" s="560">
        <v>9798.4</v>
      </c>
      <c r="EW5" s="560">
        <v>9937.1</v>
      </c>
      <c r="EX5" s="560">
        <v>10004.4</v>
      </c>
      <c r="EY5" s="560">
        <v>10129.9</v>
      </c>
      <c r="EZ5" s="560">
        <v>10159.1</v>
      </c>
      <c r="FA5" s="560">
        <v>9906.9</v>
      </c>
      <c r="FB5" s="560">
        <v>9815</v>
      </c>
      <c r="FC5" s="560">
        <v>9805.5</v>
      </c>
      <c r="FD5" s="560">
        <v>9939.4</v>
      </c>
      <c r="FE5" s="560">
        <v>10005</v>
      </c>
      <c r="FF5" s="560">
        <v>10101.799999999999</v>
      </c>
      <c r="FG5" s="560">
        <v>10208.1</v>
      </c>
      <c r="FH5" s="560">
        <v>10300.799999999999</v>
      </c>
      <c r="FI5" s="560">
        <v>10430.299999999999</v>
      </c>
      <c r="FJ5" s="560">
        <v>10558.2</v>
      </c>
      <c r="FK5" s="560">
        <v>10673</v>
      </c>
      <c r="FL5" s="560">
        <v>10755</v>
      </c>
      <c r="FM5" s="560">
        <v>10809.2</v>
      </c>
      <c r="FN5" s="560">
        <v>10959.3</v>
      </c>
      <c r="FO5" s="560">
        <v>11005.1</v>
      </c>
      <c r="FP5" s="560">
        <v>11059.4</v>
      </c>
      <c r="FQ5" s="560">
        <v>11165.7</v>
      </c>
      <c r="FR5" s="560">
        <v>11265.6</v>
      </c>
      <c r="FS5" s="560">
        <v>11291</v>
      </c>
      <c r="FT5" s="560">
        <v>11379.2</v>
      </c>
      <c r="FU5" s="560">
        <v>11518.4</v>
      </c>
      <c r="FV5" s="560">
        <v>11618.1</v>
      </c>
      <c r="FW5" s="560">
        <v>11784.7</v>
      </c>
      <c r="FX5" s="560">
        <v>11934.3</v>
      </c>
      <c r="FY5" s="560">
        <v>12053.8</v>
      </c>
      <c r="FZ5" s="560">
        <v>12083.9</v>
      </c>
      <c r="GA5" s="560">
        <v>12224.7</v>
      </c>
      <c r="GB5" s="560">
        <v>12347.8</v>
      </c>
      <c r="GC5" s="560">
        <v>12397.5</v>
      </c>
      <c r="GD5" s="560">
        <v>12495.1</v>
      </c>
      <c r="GE5" s="560">
        <v>12637.4</v>
      </c>
      <c r="GF5" s="560">
        <v>12759.1</v>
      </c>
      <c r="GG5" s="560">
        <v>12881.6</v>
      </c>
      <c r="GH5" s="560">
        <v>13046.4</v>
      </c>
      <c r="GI5" s="560">
        <v>13144.4</v>
      </c>
      <c r="GJ5" s="560">
        <v>13268.1</v>
      </c>
      <c r="GK5" s="560">
        <v>13497.5</v>
      </c>
      <c r="GL5" s="560">
        <v>13667.4</v>
      </c>
      <c r="GM5" s="560">
        <v>13864.8</v>
      </c>
      <c r="GN5" s="560">
        <v>14002.6</v>
      </c>
      <c r="GO5" s="560">
        <v>14119.3</v>
      </c>
      <c r="GP5" s="560">
        <v>14155.6</v>
      </c>
      <c r="GQ5" s="560">
        <v>14375.7</v>
      </c>
      <c r="GR5" s="560">
        <v>14529.5</v>
      </c>
      <c r="GS5" s="560">
        <v>14653.9</v>
      </c>
      <c r="GT5" s="560">
        <v>14439.1</v>
      </c>
      <c r="GU5" s="560">
        <v>12989.7</v>
      </c>
      <c r="GV5" s="560">
        <v>14293.8</v>
      </c>
      <c r="GW5" s="560">
        <v>14467.6</v>
      </c>
      <c r="GX5" s="560">
        <v>15005.4</v>
      </c>
      <c r="GY5" s="560">
        <v>15675.9</v>
      </c>
    </row>
    <row r="6" spans="1:207">
      <c r="A6" s="560" t="s">
        <v>205</v>
      </c>
      <c r="B6" s="560">
        <v>3071.1</v>
      </c>
      <c r="C6" s="560">
        <v>3085</v>
      </c>
      <c r="D6" s="560">
        <v>3112</v>
      </c>
      <c r="E6" s="560">
        <v>3103.6</v>
      </c>
      <c r="F6" s="560">
        <v>3163.1</v>
      </c>
      <c r="G6" s="560">
        <v>3192.2</v>
      </c>
      <c r="H6" s="560">
        <v>3217.7</v>
      </c>
      <c r="I6" s="560">
        <v>3271.1</v>
      </c>
      <c r="J6" s="560">
        <v>3314.2</v>
      </c>
      <c r="K6" s="560">
        <v>3377.3</v>
      </c>
      <c r="L6" s="560">
        <v>3429.4</v>
      </c>
      <c r="M6" s="560">
        <v>3509.8</v>
      </c>
      <c r="N6" s="560">
        <v>3573.9</v>
      </c>
      <c r="O6" s="560">
        <v>3572.3</v>
      </c>
      <c r="P6" s="560">
        <v>3584.9</v>
      </c>
      <c r="Q6" s="560">
        <v>3574.2</v>
      </c>
      <c r="R6" s="560">
        <v>3542.2</v>
      </c>
      <c r="S6" s="560">
        <v>3555</v>
      </c>
      <c r="T6" s="560">
        <v>3570.2</v>
      </c>
      <c r="U6" s="560">
        <v>3518.1</v>
      </c>
      <c r="V6" s="560">
        <v>3547.6</v>
      </c>
      <c r="W6" s="560">
        <v>3605.9</v>
      </c>
      <c r="X6" s="560">
        <v>3657.2</v>
      </c>
      <c r="Y6" s="560">
        <v>3696.5</v>
      </c>
      <c r="Z6" s="560">
        <v>3770.4</v>
      </c>
      <c r="AA6" s="560">
        <v>3805.1</v>
      </c>
      <c r="AB6" s="560">
        <v>3845.1</v>
      </c>
      <c r="AC6" s="560">
        <v>3895</v>
      </c>
      <c r="AD6" s="560">
        <v>3940.9</v>
      </c>
      <c r="AE6" s="560">
        <v>3962.3</v>
      </c>
      <c r="AF6" s="560">
        <v>3999.8</v>
      </c>
      <c r="AG6" s="560">
        <v>4059.9</v>
      </c>
      <c r="AH6" s="560">
        <v>4082.7</v>
      </c>
      <c r="AI6" s="560">
        <v>4170</v>
      </c>
      <c r="AJ6" s="560">
        <v>4187.5</v>
      </c>
      <c r="AK6" s="560">
        <v>4221.3</v>
      </c>
      <c r="AL6" s="560">
        <v>4243.2</v>
      </c>
      <c r="AM6" s="560">
        <v>4240.3999999999996</v>
      </c>
      <c r="AN6" s="560">
        <v>4281.7</v>
      </c>
      <c r="AO6" s="560">
        <v>4292.3</v>
      </c>
      <c r="AP6" s="560">
        <v>4286.2</v>
      </c>
      <c r="AQ6" s="560">
        <v>4189.7</v>
      </c>
      <c r="AR6" s="560">
        <v>4235.6000000000004</v>
      </c>
      <c r="AS6" s="560">
        <v>4292.8999999999996</v>
      </c>
      <c r="AT6" s="560">
        <v>4307.2</v>
      </c>
      <c r="AU6" s="560">
        <v>4307.6000000000004</v>
      </c>
      <c r="AV6" s="560">
        <v>4327.5</v>
      </c>
      <c r="AW6" s="560">
        <v>4297.8999999999996</v>
      </c>
      <c r="AX6" s="560">
        <v>4329.5</v>
      </c>
      <c r="AY6" s="560">
        <v>4342.7</v>
      </c>
      <c r="AZ6" s="560">
        <v>4371.8</v>
      </c>
      <c r="BA6" s="560">
        <v>4448.3999999999996</v>
      </c>
      <c r="BB6" s="560">
        <v>4492.3999999999996</v>
      </c>
      <c r="BC6" s="560">
        <v>4583.8999999999996</v>
      </c>
      <c r="BD6" s="560">
        <v>4666.1000000000004</v>
      </c>
      <c r="BE6" s="560">
        <v>4740.3999999999996</v>
      </c>
      <c r="BF6" s="560">
        <v>4779.8</v>
      </c>
      <c r="BG6" s="560">
        <v>4846.7</v>
      </c>
      <c r="BH6" s="560">
        <v>4882.7</v>
      </c>
      <c r="BI6" s="560">
        <v>4945.8999999999996</v>
      </c>
      <c r="BJ6" s="560">
        <v>5030</v>
      </c>
      <c r="BK6" s="560">
        <v>5076.1000000000004</v>
      </c>
      <c r="BL6" s="560">
        <v>5172.6000000000004</v>
      </c>
      <c r="BM6" s="560">
        <v>5183.7</v>
      </c>
      <c r="BN6" s="560">
        <v>5229</v>
      </c>
      <c r="BO6" s="560">
        <v>5286</v>
      </c>
      <c r="BP6" s="560">
        <v>5379.5</v>
      </c>
      <c r="BQ6" s="560">
        <v>5412.5</v>
      </c>
      <c r="BR6" s="560">
        <v>5417.9</v>
      </c>
      <c r="BS6" s="560">
        <v>5491.8</v>
      </c>
      <c r="BT6" s="560">
        <v>5554.5</v>
      </c>
      <c r="BU6" s="560">
        <v>5566.3</v>
      </c>
      <c r="BV6" s="560">
        <v>5664.6</v>
      </c>
      <c r="BW6" s="560">
        <v>5706.4</v>
      </c>
      <c r="BX6" s="560">
        <v>5757.1</v>
      </c>
      <c r="BY6" s="560">
        <v>5822.6</v>
      </c>
      <c r="BZ6" s="560">
        <v>5849.6</v>
      </c>
      <c r="CA6" s="560">
        <v>5876.9</v>
      </c>
      <c r="CB6" s="560">
        <v>5933.8</v>
      </c>
      <c r="CC6" s="560">
        <v>5959.6</v>
      </c>
      <c r="CD6" s="560">
        <v>6009.7</v>
      </c>
      <c r="CE6" s="560">
        <v>6028</v>
      </c>
      <c r="CF6" s="560">
        <v>6051.9</v>
      </c>
      <c r="CG6" s="560">
        <v>6005.9</v>
      </c>
      <c r="CH6" s="560">
        <v>5983.3</v>
      </c>
      <c r="CI6" s="560">
        <v>6032.9</v>
      </c>
      <c r="CJ6" s="560">
        <v>6063</v>
      </c>
      <c r="CK6" s="560">
        <v>6059.9</v>
      </c>
      <c r="CL6" s="560">
        <v>6173.4</v>
      </c>
      <c r="CM6" s="560">
        <v>6215.3</v>
      </c>
      <c r="CN6" s="560">
        <v>6281.9</v>
      </c>
      <c r="CO6" s="560">
        <v>6356.8</v>
      </c>
      <c r="CP6" s="560">
        <v>6381.2</v>
      </c>
      <c r="CQ6" s="560">
        <v>6439.2</v>
      </c>
      <c r="CR6" s="560">
        <v>6510.9</v>
      </c>
      <c r="CS6" s="560">
        <v>6568</v>
      </c>
      <c r="CT6" s="560">
        <v>6643.2</v>
      </c>
      <c r="CU6" s="560">
        <v>6694.8</v>
      </c>
      <c r="CV6" s="560">
        <v>6745.9</v>
      </c>
      <c r="CW6" s="560">
        <v>6818.8</v>
      </c>
      <c r="CX6" s="560">
        <v>6835.8</v>
      </c>
      <c r="CY6" s="560">
        <v>6895.7</v>
      </c>
      <c r="CZ6" s="560">
        <v>6958.2</v>
      </c>
      <c r="DA6" s="560">
        <v>7006.7</v>
      </c>
      <c r="DB6" s="560">
        <v>7071.4</v>
      </c>
      <c r="DC6" s="560">
        <v>7147.4</v>
      </c>
      <c r="DD6" s="560">
        <v>7190.7</v>
      </c>
      <c r="DE6" s="560">
        <v>7248</v>
      </c>
      <c r="DF6" s="560">
        <v>7324.4</v>
      </c>
      <c r="DG6" s="560">
        <v>7357.4</v>
      </c>
      <c r="DH6" s="560">
        <v>7482.7</v>
      </c>
      <c r="DI6" s="560">
        <v>7572.1</v>
      </c>
      <c r="DJ6" s="560">
        <v>7648.7</v>
      </c>
      <c r="DK6" s="560">
        <v>7783.4</v>
      </c>
      <c r="DL6" s="560">
        <v>7884.9</v>
      </c>
      <c r="DM6" s="560">
        <v>7998.8</v>
      </c>
      <c r="DN6" s="560">
        <v>8081</v>
      </c>
      <c r="DO6" s="560">
        <v>8204.7999999999993</v>
      </c>
      <c r="DP6" s="560">
        <v>8297</v>
      </c>
      <c r="DQ6" s="560">
        <v>8418.2999999999993</v>
      </c>
      <c r="DR6" s="560">
        <v>8545.6</v>
      </c>
      <c r="DS6" s="560">
        <v>8625.4</v>
      </c>
      <c r="DT6" s="560">
        <v>8708.1</v>
      </c>
      <c r="DU6" s="560">
        <v>8784.2000000000007</v>
      </c>
      <c r="DV6" s="560">
        <v>8816</v>
      </c>
      <c r="DW6" s="560">
        <v>8833.7000000000007</v>
      </c>
      <c r="DX6" s="560">
        <v>8864.5</v>
      </c>
      <c r="DY6" s="560">
        <v>9007.5</v>
      </c>
      <c r="DZ6" s="560">
        <v>9027.5</v>
      </c>
      <c r="EA6" s="560">
        <v>9073.2000000000007</v>
      </c>
      <c r="EB6" s="560">
        <v>9136.7000000000007</v>
      </c>
      <c r="EC6" s="560">
        <v>9187.5</v>
      </c>
      <c r="ED6" s="560">
        <v>9232.7999999999993</v>
      </c>
      <c r="EE6" s="560">
        <v>9338.5</v>
      </c>
      <c r="EF6" s="560">
        <v>9470.5</v>
      </c>
      <c r="EG6" s="560">
        <v>9535.7000000000007</v>
      </c>
      <c r="EH6" s="560">
        <v>9624.6</v>
      </c>
      <c r="EI6" s="560">
        <v>9677.2000000000007</v>
      </c>
      <c r="EJ6" s="560">
        <v>9790.7999999999993</v>
      </c>
      <c r="EK6" s="560">
        <v>9901.6</v>
      </c>
      <c r="EL6" s="560">
        <v>9964.5</v>
      </c>
      <c r="EM6" s="560">
        <v>10074.9</v>
      </c>
      <c r="EN6" s="560">
        <v>10158.5</v>
      </c>
      <c r="EO6" s="560">
        <v>10177.200000000001</v>
      </c>
      <c r="EP6" s="560">
        <v>10288.200000000001</v>
      </c>
      <c r="EQ6" s="560">
        <v>10341.6</v>
      </c>
      <c r="ER6" s="560">
        <v>10408</v>
      </c>
      <c r="ES6" s="560">
        <v>10507.2</v>
      </c>
      <c r="ET6" s="560">
        <v>10572.1</v>
      </c>
      <c r="EU6" s="560">
        <v>10599.8</v>
      </c>
      <c r="EV6" s="560">
        <v>10670.5</v>
      </c>
      <c r="EW6" s="560">
        <v>10712.6</v>
      </c>
      <c r="EX6" s="560">
        <v>10697.9</v>
      </c>
      <c r="EY6" s="560">
        <v>10727.3</v>
      </c>
      <c r="EZ6" s="560">
        <v>10644.7</v>
      </c>
      <c r="FA6" s="560">
        <v>10548.9</v>
      </c>
      <c r="FB6" s="560">
        <v>10522.1</v>
      </c>
      <c r="FC6" s="560">
        <v>10470.4</v>
      </c>
      <c r="FD6" s="560">
        <v>10540.8</v>
      </c>
      <c r="FE6" s="560">
        <v>10529.2</v>
      </c>
      <c r="FF6" s="560">
        <v>10590.2</v>
      </c>
      <c r="FG6" s="560">
        <v>10685.1</v>
      </c>
      <c r="FH6" s="560">
        <v>10761.4</v>
      </c>
      <c r="FI6" s="560">
        <v>10827.3</v>
      </c>
      <c r="FJ6" s="560">
        <v>10868.7</v>
      </c>
      <c r="FK6" s="560">
        <v>10879.9</v>
      </c>
      <c r="FL6" s="560">
        <v>10913</v>
      </c>
      <c r="FM6" s="560">
        <v>10931.8</v>
      </c>
      <c r="FN6" s="560">
        <v>11010.7</v>
      </c>
      <c r="FO6" s="560">
        <v>11030</v>
      </c>
      <c r="FP6" s="560">
        <v>11052.4</v>
      </c>
      <c r="FQ6" s="560">
        <v>11096.4</v>
      </c>
      <c r="FR6" s="560">
        <v>11155.5</v>
      </c>
      <c r="FS6" s="560">
        <v>11172.6</v>
      </c>
      <c r="FT6" s="560">
        <v>11214.4</v>
      </c>
      <c r="FU6" s="560">
        <v>11304.3</v>
      </c>
      <c r="FV6" s="560">
        <v>11347.6</v>
      </c>
      <c r="FW6" s="560">
        <v>11453</v>
      </c>
      <c r="FX6" s="560">
        <v>11565.7</v>
      </c>
      <c r="FY6" s="560">
        <v>11694.9</v>
      </c>
      <c r="FZ6" s="560">
        <v>11772.9</v>
      </c>
      <c r="GA6" s="560">
        <v>11852.7</v>
      </c>
      <c r="GB6" s="560">
        <v>11943</v>
      </c>
      <c r="GC6" s="560">
        <v>12003.1</v>
      </c>
      <c r="GD6" s="560">
        <v>12091.2</v>
      </c>
      <c r="GE6" s="560">
        <v>12152.6</v>
      </c>
      <c r="GF6" s="560">
        <v>12223.8</v>
      </c>
      <c r="GG6" s="560">
        <v>12283.1</v>
      </c>
      <c r="GH6" s="560">
        <v>12372.2</v>
      </c>
      <c r="GI6" s="560">
        <v>12430.1</v>
      </c>
      <c r="GJ6" s="560">
        <v>12500.4</v>
      </c>
      <c r="GK6" s="560">
        <v>12632</v>
      </c>
      <c r="GL6" s="560">
        <v>12707.6</v>
      </c>
      <c r="GM6" s="560">
        <v>12816.4</v>
      </c>
      <c r="GN6" s="560">
        <v>12900.6</v>
      </c>
      <c r="GO6" s="560">
        <v>12955.5</v>
      </c>
      <c r="GP6" s="560">
        <v>12975.1</v>
      </c>
      <c r="GQ6" s="560">
        <v>13088.8</v>
      </c>
      <c r="GR6" s="560">
        <v>13192.3</v>
      </c>
      <c r="GS6" s="560">
        <v>13249</v>
      </c>
      <c r="GT6" s="560">
        <v>13014.5</v>
      </c>
      <c r="GU6" s="560">
        <v>11756.4</v>
      </c>
      <c r="GV6" s="560">
        <v>12820.8</v>
      </c>
      <c r="GW6" s="560">
        <v>12927.9</v>
      </c>
      <c r="GX6" s="560">
        <v>13282.7</v>
      </c>
      <c r="GY6" s="560">
        <v>13660.2</v>
      </c>
    </row>
    <row r="7" spans="1:207">
      <c r="A7" s="560" t="s">
        <v>206</v>
      </c>
      <c r="B7" s="560">
        <v>20.57</v>
      </c>
      <c r="C7" s="560">
        <v>20.797999999999998</v>
      </c>
      <c r="D7" s="560">
        <v>21</v>
      </c>
      <c r="E7" s="560">
        <v>21.271999999999998</v>
      </c>
      <c r="F7" s="560">
        <v>21.474</v>
      </c>
      <c r="G7" s="560">
        <v>21.718</v>
      </c>
      <c r="H7" s="560">
        <v>21.931999999999999</v>
      </c>
      <c r="I7" s="560">
        <v>22.068000000000001</v>
      </c>
      <c r="J7" s="560">
        <v>22.300999999999998</v>
      </c>
      <c r="K7" s="560">
        <v>22.428999999999998</v>
      </c>
      <c r="L7" s="560">
        <v>22.626000000000001</v>
      </c>
      <c r="M7" s="560">
        <v>22.811</v>
      </c>
      <c r="N7" s="560">
        <v>23.085999999999999</v>
      </c>
      <c r="O7" s="560">
        <v>23.53</v>
      </c>
      <c r="P7" s="560">
        <v>23.957999999999998</v>
      </c>
      <c r="Q7" s="560">
        <v>24.448</v>
      </c>
      <c r="R7" s="560">
        <v>25.175999999999998</v>
      </c>
      <c r="S7" s="560">
        <v>25.888999999999999</v>
      </c>
      <c r="T7" s="560">
        <v>26.587</v>
      </c>
      <c r="U7" s="560">
        <v>27.263000000000002</v>
      </c>
      <c r="V7" s="560">
        <v>27.776</v>
      </c>
      <c r="W7" s="560">
        <v>28.117000000000001</v>
      </c>
      <c r="X7" s="560">
        <v>28.643000000000001</v>
      </c>
      <c r="Y7" s="560">
        <v>29.123999999999999</v>
      </c>
      <c r="Z7" s="560">
        <v>29.443999999999999</v>
      </c>
      <c r="AA7" s="560">
        <v>29.690999999999999</v>
      </c>
      <c r="AB7" s="560">
        <v>30.141999999999999</v>
      </c>
      <c r="AC7" s="560">
        <v>30.617999999999999</v>
      </c>
      <c r="AD7" s="560">
        <v>31.17</v>
      </c>
      <c r="AE7" s="560">
        <v>31.704000000000001</v>
      </c>
      <c r="AF7" s="560">
        <v>32.180999999999997</v>
      </c>
      <c r="AG7" s="560">
        <v>32.637999999999998</v>
      </c>
      <c r="AH7" s="560">
        <v>33.173999999999999</v>
      </c>
      <c r="AI7" s="560">
        <v>33.854999999999997</v>
      </c>
      <c r="AJ7" s="560">
        <v>34.448999999999998</v>
      </c>
      <c r="AK7" s="560">
        <v>35.1</v>
      </c>
      <c r="AL7" s="560">
        <v>35.762</v>
      </c>
      <c r="AM7" s="560">
        <v>36.738999999999997</v>
      </c>
      <c r="AN7" s="560">
        <v>37.65</v>
      </c>
      <c r="AO7" s="560">
        <v>38.561999999999998</v>
      </c>
      <c r="AP7" s="560">
        <v>39.719000000000001</v>
      </c>
      <c r="AQ7" s="560">
        <v>40.691000000000003</v>
      </c>
      <c r="AR7" s="560">
        <v>41.643000000000001</v>
      </c>
      <c r="AS7" s="560">
        <v>42.673000000000002</v>
      </c>
      <c r="AT7" s="560">
        <v>43.78</v>
      </c>
      <c r="AU7" s="560">
        <v>44.515000000000001</v>
      </c>
      <c r="AV7" s="560">
        <v>45.247999999999998</v>
      </c>
      <c r="AW7" s="560">
        <v>45.941000000000003</v>
      </c>
      <c r="AX7" s="560">
        <v>46.524999999999999</v>
      </c>
      <c r="AY7" s="560">
        <v>46.972999999999999</v>
      </c>
      <c r="AZ7" s="560">
        <v>47.715000000000003</v>
      </c>
      <c r="BA7" s="560">
        <v>48.241</v>
      </c>
      <c r="BB7" s="560">
        <v>48.64</v>
      </c>
      <c r="BC7" s="560">
        <v>49.085000000000001</v>
      </c>
      <c r="BD7" s="560">
        <v>49.73</v>
      </c>
      <c r="BE7" s="560">
        <v>50.058</v>
      </c>
      <c r="BF7" s="560">
        <v>50.598999999999997</v>
      </c>
      <c r="BG7" s="560">
        <v>51.088999999999999</v>
      </c>
      <c r="BH7" s="560">
        <v>51.482999999999997</v>
      </c>
      <c r="BI7" s="560">
        <v>51.801000000000002</v>
      </c>
      <c r="BJ7" s="560">
        <v>52.411999999999999</v>
      </c>
      <c r="BK7" s="560">
        <v>52.837000000000003</v>
      </c>
      <c r="BL7" s="560">
        <v>53.250999999999998</v>
      </c>
      <c r="BM7" s="560">
        <v>53.622999999999998</v>
      </c>
      <c r="BN7" s="560">
        <v>54.003</v>
      </c>
      <c r="BO7" s="560">
        <v>53.945999999999998</v>
      </c>
      <c r="BP7" s="560">
        <v>54.23</v>
      </c>
      <c r="BQ7" s="560">
        <v>54.558</v>
      </c>
      <c r="BR7" s="560">
        <v>55.072000000000003</v>
      </c>
      <c r="BS7" s="560">
        <v>55.603000000000002</v>
      </c>
      <c r="BT7" s="560">
        <v>56.13</v>
      </c>
      <c r="BU7" s="560">
        <v>56.615000000000002</v>
      </c>
      <c r="BV7" s="560">
        <v>57.061999999999998</v>
      </c>
      <c r="BW7" s="560">
        <v>57.692</v>
      </c>
      <c r="BX7" s="560">
        <v>58.402999999999999</v>
      </c>
      <c r="BY7" s="560">
        <v>58.993000000000002</v>
      </c>
      <c r="BZ7" s="560">
        <v>59.670999999999999</v>
      </c>
      <c r="CA7" s="560">
        <v>60.475000000000001</v>
      </c>
      <c r="CB7" s="560">
        <v>60.832000000000001</v>
      </c>
      <c r="CC7" s="560">
        <v>61.31</v>
      </c>
      <c r="CD7" s="560">
        <v>62.198999999999998</v>
      </c>
      <c r="CE7" s="560">
        <v>62.764000000000003</v>
      </c>
      <c r="CF7" s="560">
        <v>63.561</v>
      </c>
      <c r="CG7" s="560">
        <v>64.402000000000001</v>
      </c>
      <c r="CH7" s="560">
        <v>64.739999999999995</v>
      </c>
      <c r="CI7" s="560">
        <v>65.093999999999994</v>
      </c>
      <c r="CJ7" s="560">
        <v>65.536000000000001</v>
      </c>
      <c r="CK7" s="560">
        <v>66.012</v>
      </c>
      <c r="CL7" s="560">
        <v>66.424999999999997</v>
      </c>
      <c r="CM7" s="560">
        <v>66.867000000000004</v>
      </c>
      <c r="CN7" s="560">
        <v>67.293999999999997</v>
      </c>
      <c r="CO7" s="560">
        <v>67.763000000000005</v>
      </c>
      <c r="CP7" s="560">
        <v>68.167000000000002</v>
      </c>
      <c r="CQ7" s="560">
        <v>68.623999999999995</v>
      </c>
      <c r="CR7" s="560">
        <v>68.923000000000002</v>
      </c>
      <c r="CS7" s="560">
        <v>69.319999999999993</v>
      </c>
      <c r="CT7" s="560">
        <v>69.567999999999998</v>
      </c>
      <c r="CU7" s="560">
        <v>69.956000000000003</v>
      </c>
      <c r="CV7" s="560">
        <v>70.459000000000003</v>
      </c>
      <c r="CW7" s="560">
        <v>70.789000000000001</v>
      </c>
      <c r="CX7" s="560">
        <v>71.135999999999996</v>
      </c>
      <c r="CY7" s="560">
        <v>71.549000000000007</v>
      </c>
      <c r="CZ7" s="560">
        <v>71.841999999999999</v>
      </c>
      <c r="DA7" s="560">
        <v>72.158000000000001</v>
      </c>
      <c r="DB7" s="560">
        <v>72.558999999999997</v>
      </c>
      <c r="DC7" s="560">
        <v>73.043999999999997</v>
      </c>
      <c r="DD7" s="560">
        <v>73.355999999999995</v>
      </c>
      <c r="DE7" s="560">
        <v>73.855999999999995</v>
      </c>
      <c r="DF7" s="560">
        <v>74.182000000000002</v>
      </c>
      <c r="DG7" s="560">
        <v>74.367999999999995</v>
      </c>
      <c r="DH7" s="560">
        <v>74.563999999999993</v>
      </c>
      <c r="DI7" s="560">
        <v>74.798000000000002</v>
      </c>
      <c r="DJ7" s="560">
        <v>74.804000000000002</v>
      </c>
      <c r="DK7" s="560">
        <v>74.938999999999993</v>
      </c>
      <c r="DL7" s="560">
        <v>75.17</v>
      </c>
      <c r="DM7" s="560">
        <v>75.369</v>
      </c>
      <c r="DN7" s="560">
        <v>75.516999999999996</v>
      </c>
      <c r="DO7" s="560">
        <v>75.947000000000003</v>
      </c>
      <c r="DP7" s="560">
        <v>76.364999999999995</v>
      </c>
      <c r="DQ7" s="560">
        <v>76.828000000000003</v>
      </c>
      <c r="DR7" s="560">
        <v>77.451999999999998</v>
      </c>
      <c r="DS7" s="560">
        <v>77.820999999999998</v>
      </c>
      <c r="DT7" s="560">
        <v>78.322999999999993</v>
      </c>
      <c r="DU7" s="560">
        <v>78.766000000000005</v>
      </c>
      <c r="DV7" s="560">
        <v>79.349000000000004</v>
      </c>
      <c r="DW7" s="560">
        <v>79.721000000000004</v>
      </c>
      <c r="DX7" s="560">
        <v>79.760999999999996</v>
      </c>
      <c r="DY7" s="560">
        <v>79.793999999999997</v>
      </c>
      <c r="DZ7" s="560">
        <v>79.953999999999994</v>
      </c>
      <c r="EA7" s="560">
        <v>80.546999999999997</v>
      </c>
      <c r="EB7" s="560">
        <v>80.963999999999999</v>
      </c>
      <c r="EC7" s="560">
        <v>81.341999999999999</v>
      </c>
      <c r="ED7" s="560">
        <v>81.963999999999999</v>
      </c>
      <c r="EE7" s="560">
        <v>82.046000000000006</v>
      </c>
      <c r="EF7" s="560">
        <v>82.587000000000003</v>
      </c>
      <c r="EG7" s="560">
        <v>82.992999999999995</v>
      </c>
      <c r="EH7" s="560">
        <v>83.632999999999996</v>
      </c>
      <c r="EI7" s="560">
        <v>84.195999999999998</v>
      </c>
      <c r="EJ7" s="560">
        <v>84.61</v>
      </c>
      <c r="EK7" s="560">
        <v>85.332999999999998</v>
      </c>
      <c r="EL7" s="560">
        <v>85.828999999999994</v>
      </c>
      <c r="EM7" s="560">
        <v>86.370999999999995</v>
      </c>
      <c r="EN7" s="560">
        <v>87.304000000000002</v>
      </c>
      <c r="EO7" s="560">
        <v>87.998999999999995</v>
      </c>
      <c r="EP7" s="560">
        <v>88.456000000000003</v>
      </c>
      <c r="EQ7" s="560">
        <v>89.231999999999999</v>
      </c>
      <c r="ER7" s="560">
        <v>89.873999999999995</v>
      </c>
      <c r="ES7" s="560">
        <v>89.725999999999999</v>
      </c>
      <c r="ET7" s="560">
        <v>90.546000000000006</v>
      </c>
      <c r="EU7" s="560">
        <v>91.314999999999998</v>
      </c>
      <c r="EV7" s="560">
        <v>91.831000000000003</v>
      </c>
      <c r="EW7" s="560">
        <v>92.765000000000001</v>
      </c>
      <c r="EX7" s="560">
        <v>93.52</v>
      </c>
      <c r="EY7" s="560">
        <v>94.43</v>
      </c>
      <c r="EZ7" s="560">
        <v>95.438000000000002</v>
      </c>
      <c r="FA7" s="560">
        <v>93.914000000000001</v>
      </c>
      <c r="FB7" s="560">
        <v>93.28</v>
      </c>
      <c r="FC7" s="560">
        <v>93.650999999999996</v>
      </c>
      <c r="FD7" s="560">
        <v>94.296000000000006</v>
      </c>
      <c r="FE7" s="560">
        <v>95.024000000000001</v>
      </c>
      <c r="FF7" s="560">
        <v>95.391000000000005</v>
      </c>
      <c r="FG7" s="560">
        <v>95.539000000000001</v>
      </c>
      <c r="FH7" s="560">
        <v>95.722999999999999</v>
      </c>
      <c r="FI7" s="560">
        <v>96.335999999999999</v>
      </c>
      <c r="FJ7" s="560">
        <v>97.144999999999996</v>
      </c>
      <c r="FK7" s="560">
        <v>98.1</v>
      </c>
      <c r="FL7" s="560">
        <v>98.554000000000002</v>
      </c>
      <c r="FM7" s="560">
        <v>98.879000000000005</v>
      </c>
      <c r="FN7" s="560">
        <v>99.534000000000006</v>
      </c>
      <c r="FO7" s="560">
        <v>99.775000000000006</v>
      </c>
      <c r="FP7" s="560">
        <v>100.065</v>
      </c>
      <c r="FQ7" s="560">
        <v>100.626</v>
      </c>
      <c r="FR7" s="560">
        <v>100.989</v>
      </c>
      <c r="FS7" s="560">
        <v>101.06100000000001</v>
      </c>
      <c r="FT7" s="560">
        <v>101.471</v>
      </c>
      <c r="FU7" s="560">
        <v>101.896</v>
      </c>
      <c r="FV7" s="560">
        <v>102.386</v>
      </c>
      <c r="FW7" s="560">
        <v>102.899</v>
      </c>
      <c r="FX7" s="560">
        <v>103.19</v>
      </c>
      <c r="FY7" s="560">
        <v>103.071</v>
      </c>
      <c r="FZ7" s="560">
        <v>102.643</v>
      </c>
      <c r="GA7" s="560">
        <v>103.14100000000001</v>
      </c>
      <c r="GB7" s="560">
        <v>103.39</v>
      </c>
      <c r="GC7" s="560">
        <v>103.288</v>
      </c>
      <c r="GD7" s="560">
        <v>103.343</v>
      </c>
      <c r="GE7" s="560">
        <v>103.992</v>
      </c>
      <c r="GF7" s="560">
        <v>104.38200000000001</v>
      </c>
      <c r="GG7" s="560">
        <v>104.876</v>
      </c>
      <c r="GH7" s="560">
        <v>105.453</v>
      </c>
      <c r="GI7" s="560">
        <v>105.751</v>
      </c>
      <c r="GJ7" s="560">
        <v>106.146</v>
      </c>
      <c r="GK7" s="560">
        <v>106.85599999999999</v>
      </c>
      <c r="GL7" s="560">
        <v>107.557</v>
      </c>
      <c r="GM7" s="560">
        <v>108.184</v>
      </c>
      <c r="GN7" s="560">
        <v>108.54600000000001</v>
      </c>
      <c r="GO7" s="560">
        <v>108.986</v>
      </c>
      <c r="GP7" s="560">
        <v>109.1</v>
      </c>
      <c r="GQ7" s="560">
        <v>109.83499999999999</v>
      </c>
      <c r="GR7" s="560">
        <v>110.14100000000001</v>
      </c>
      <c r="GS7" s="560">
        <v>110.61199999999999</v>
      </c>
      <c r="GT7" s="560">
        <v>110.958</v>
      </c>
      <c r="GU7" s="560">
        <v>110.505</v>
      </c>
      <c r="GV7" s="560">
        <v>111.50700000000001</v>
      </c>
      <c r="GW7" s="560">
        <v>111.928</v>
      </c>
      <c r="GX7" s="560">
        <v>112.989</v>
      </c>
      <c r="GY7" s="560">
        <v>114.77500000000001</v>
      </c>
    </row>
    <row r="8" spans="1:207">
      <c r="A8" s="560" t="s">
        <v>200</v>
      </c>
      <c r="B8" s="560">
        <v>18.704000000000001</v>
      </c>
      <c r="C8" s="560">
        <v>18.951000000000001</v>
      </c>
      <c r="D8" s="560">
        <v>19.274000000000001</v>
      </c>
      <c r="E8" s="560">
        <v>19.518999999999998</v>
      </c>
      <c r="F8" s="560">
        <v>20.137</v>
      </c>
      <c r="G8" s="560">
        <v>20.513000000000002</v>
      </c>
      <c r="H8" s="560">
        <v>20.81</v>
      </c>
      <c r="I8" s="560">
        <v>21.233000000000001</v>
      </c>
      <c r="J8" s="560">
        <v>22.106999999999999</v>
      </c>
      <c r="K8" s="560">
        <v>22.33</v>
      </c>
      <c r="L8" s="560">
        <v>22.513000000000002</v>
      </c>
      <c r="M8" s="560">
        <v>23.003</v>
      </c>
      <c r="N8" s="560">
        <v>23.373000000000001</v>
      </c>
      <c r="O8" s="560">
        <v>23.78</v>
      </c>
      <c r="P8" s="560">
        <v>24.271999999999998</v>
      </c>
      <c r="Q8" s="560">
        <v>24.791</v>
      </c>
      <c r="R8" s="560">
        <v>25.045000000000002</v>
      </c>
      <c r="S8" s="560">
        <v>25.498000000000001</v>
      </c>
      <c r="T8" s="560">
        <v>26.242000000000001</v>
      </c>
      <c r="U8" s="560">
        <v>27.114000000000001</v>
      </c>
      <c r="V8" s="560">
        <v>27.606999999999999</v>
      </c>
      <c r="W8" s="560">
        <v>28.006</v>
      </c>
      <c r="X8" s="560">
        <v>28.384</v>
      </c>
      <c r="Y8" s="560">
        <v>29.036000000000001</v>
      </c>
      <c r="Z8" s="560">
        <v>29.46</v>
      </c>
      <c r="AA8" s="560">
        <v>29.707000000000001</v>
      </c>
      <c r="AB8" s="560">
        <v>30.047000000000001</v>
      </c>
      <c r="AC8" s="560">
        <v>30.850999999999999</v>
      </c>
      <c r="AD8" s="560">
        <v>31.286999999999999</v>
      </c>
      <c r="AE8" s="560">
        <v>31.643000000000001</v>
      </c>
      <c r="AF8" s="560">
        <v>31.798999999999999</v>
      </c>
      <c r="AG8" s="560">
        <v>32.720999999999997</v>
      </c>
      <c r="AH8" s="560">
        <v>33.094999999999999</v>
      </c>
      <c r="AI8" s="560">
        <v>33.744999999999997</v>
      </c>
      <c r="AJ8" s="560">
        <v>34.308999999999997</v>
      </c>
      <c r="AK8" s="560">
        <v>34.901000000000003</v>
      </c>
      <c r="AL8" s="560">
        <v>35.543999999999997</v>
      </c>
      <c r="AM8" s="560">
        <v>36.081000000000003</v>
      </c>
      <c r="AN8" s="560">
        <v>36.923000000000002</v>
      </c>
      <c r="AO8" s="560">
        <v>37.735999999999997</v>
      </c>
      <c r="AP8" s="560">
        <v>38.481999999999999</v>
      </c>
      <c r="AQ8" s="560">
        <v>39.97</v>
      </c>
      <c r="AR8" s="560">
        <v>40.375</v>
      </c>
      <c r="AS8" s="560">
        <v>41.59</v>
      </c>
      <c r="AT8" s="560">
        <v>42.420999999999999</v>
      </c>
      <c r="AU8" s="560">
        <v>43.406999999999996</v>
      </c>
      <c r="AV8" s="560">
        <v>44.36</v>
      </c>
      <c r="AW8" s="560">
        <v>45.209000000000003</v>
      </c>
      <c r="AX8" s="560">
        <v>45.932000000000002</v>
      </c>
      <c r="AY8" s="560">
        <v>46.841000000000001</v>
      </c>
      <c r="AZ8" s="560">
        <v>47.234999999999999</v>
      </c>
      <c r="BA8" s="560">
        <v>47.792000000000002</v>
      </c>
      <c r="BB8" s="560">
        <v>47.881999999999998</v>
      </c>
      <c r="BC8" s="560">
        <v>48.252000000000002</v>
      </c>
      <c r="BD8" s="560">
        <v>48.786000000000001</v>
      </c>
      <c r="BE8" s="560">
        <v>49.104999999999997</v>
      </c>
      <c r="BF8" s="560">
        <v>49.741</v>
      </c>
      <c r="BG8" s="560">
        <v>50.237000000000002</v>
      </c>
      <c r="BH8" s="560">
        <v>50.984000000000002</v>
      </c>
      <c r="BI8" s="560">
        <v>51.612000000000002</v>
      </c>
      <c r="BJ8" s="560">
        <v>51.405999999999999</v>
      </c>
      <c r="BK8" s="560">
        <v>51.527000000000001</v>
      </c>
      <c r="BL8" s="560">
        <v>51.802</v>
      </c>
      <c r="BM8" s="560">
        <v>52.142000000000003</v>
      </c>
      <c r="BN8" s="560">
        <v>52.01</v>
      </c>
      <c r="BO8" s="560">
        <v>51.881</v>
      </c>
      <c r="BP8" s="560">
        <v>51.954000000000001</v>
      </c>
      <c r="BQ8" s="560">
        <v>52.012999999999998</v>
      </c>
      <c r="BR8" s="560">
        <v>51.923999999999999</v>
      </c>
      <c r="BS8" s="560">
        <v>52.170999999999999</v>
      </c>
      <c r="BT8" s="560">
        <v>52.548000000000002</v>
      </c>
      <c r="BU8" s="560">
        <v>52.658000000000001</v>
      </c>
      <c r="BV8" s="560">
        <v>53.375999999999998</v>
      </c>
      <c r="BW8" s="560">
        <v>53.901000000000003</v>
      </c>
      <c r="BX8" s="560">
        <v>54.209000000000003</v>
      </c>
      <c r="BY8" s="560">
        <v>54.645000000000003</v>
      </c>
      <c r="BZ8" s="560">
        <v>55.051000000000002</v>
      </c>
      <c r="CA8" s="560">
        <v>55.454999999999998</v>
      </c>
      <c r="CB8" s="560">
        <v>55.731000000000002</v>
      </c>
      <c r="CC8" s="560">
        <v>55.930999999999997</v>
      </c>
      <c r="CD8" s="560">
        <v>56.323</v>
      </c>
      <c r="CE8" s="560">
        <v>57.29</v>
      </c>
      <c r="CF8" s="560">
        <v>57.366999999999997</v>
      </c>
      <c r="CG8" s="560">
        <v>58.05</v>
      </c>
      <c r="CH8" s="560">
        <v>58.570999999999998</v>
      </c>
      <c r="CI8" s="560">
        <v>58.86</v>
      </c>
      <c r="CJ8" s="560">
        <v>59.616</v>
      </c>
      <c r="CK8" s="560">
        <v>60.219000000000001</v>
      </c>
      <c r="CL8" s="560">
        <v>60.307000000000002</v>
      </c>
      <c r="CM8" s="560">
        <v>60.527000000000001</v>
      </c>
      <c r="CN8" s="560">
        <v>61.055</v>
      </c>
      <c r="CO8" s="560">
        <v>61.439</v>
      </c>
      <c r="CP8" s="560">
        <v>61.591999999999999</v>
      </c>
      <c r="CQ8" s="560">
        <v>61.863</v>
      </c>
      <c r="CR8" s="560">
        <v>62.311</v>
      </c>
      <c r="CS8" s="560">
        <v>62.87</v>
      </c>
      <c r="CT8" s="560">
        <v>63.158000000000001</v>
      </c>
      <c r="CU8" s="560">
        <v>63.688000000000002</v>
      </c>
      <c r="CV8" s="560">
        <v>64.054000000000002</v>
      </c>
      <c r="CW8" s="560">
        <v>64.58</v>
      </c>
      <c r="CX8" s="560">
        <v>65.123999999999995</v>
      </c>
      <c r="CY8" s="560">
        <v>65.558000000000007</v>
      </c>
      <c r="CZ8" s="560">
        <v>65.897000000000006</v>
      </c>
      <c r="DA8" s="560">
        <v>66.807000000000002</v>
      </c>
      <c r="DB8" s="560">
        <v>66.963999999999999</v>
      </c>
      <c r="DC8" s="560">
        <v>66.605000000000004</v>
      </c>
      <c r="DD8" s="560">
        <v>66.992000000000004</v>
      </c>
      <c r="DE8" s="560">
        <v>67.221999999999994</v>
      </c>
      <c r="DF8" s="560">
        <v>67.450999999999993</v>
      </c>
      <c r="DG8" s="560">
        <v>67.894999999999996</v>
      </c>
      <c r="DH8" s="560">
        <v>68.051000000000002</v>
      </c>
      <c r="DI8" s="560">
        <v>68.528000000000006</v>
      </c>
      <c r="DJ8" s="560">
        <v>68.241</v>
      </c>
      <c r="DK8" s="560">
        <v>68.680000000000007</v>
      </c>
      <c r="DL8" s="560">
        <v>69.129000000000005</v>
      </c>
      <c r="DM8" s="560">
        <v>69.350999999999999</v>
      </c>
      <c r="DN8" s="560">
        <v>69.557000000000002</v>
      </c>
      <c r="DO8" s="560">
        <v>70.141999999999996</v>
      </c>
      <c r="DP8" s="560">
        <v>70.778999999999996</v>
      </c>
      <c r="DQ8" s="560">
        <v>71.649000000000001</v>
      </c>
      <c r="DR8" s="560">
        <v>72.346999999999994</v>
      </c>
      <c r="DS8" s="560">
        <v>72.625</v>
      </c>
      <c r="DT8" s="560">
        <v>73.144999999999996</v>
      </c>
      <c r="DU8" s="560">
        <v>73.475999999999999</v>
      </c>
      <c r="DV8" s="560">
        <v>73.600999999999999</v>
      </c>
      <c r="DW8" s="560">
        <v>73.988</v>
      </c>
      <c r="DX8" s="560">
        <v>74.462000000000003</v>
      </c>
      <c r="DY8" s="560">
        <v>74.944000000000003</v>
      </c>
      <c r="DZ8" s="560">
        <v>75.430000000000007</v>
      </c>
      <c r="EA8" s="560">
        <v>76.143000000000001</v>
      </c>
      <c r="EB8" s="560">
        <v>76.796999999999997</v>
      </c>
      <c r="EC8" s="560">
        <v>78.22</v>
      </c>
      <c r="ED8" s="560">
        <v>79.091999999999999</v>
      </c>
      <c r="EE8" s="560">
        <v>79.653999999999996</v>
      </c>
      <c r="EF8" s="560">
        <v>80.375</v>
      </c>
      <c r="EG8" s="560">
        <v>80.977000000000004</v>
      </c>
      <c r="EH8" s="560">
        <v>81.665999999999997</v>
      </c>
      <c r="EI8" s="560">
        <v>82.375</v>
      </c>
      <c r="EJ8" s="560">
        <v>83.129000000000005</v>
      </c>
      <c r="EK8" s="560">
        <v>83.938000000000002</v>
      </c>
      <c r="EL8" s="560">
        <v>85.043000000000006</v>
      </c>
      <c r="EM8" s="560">
        <v>85.81</v>
      </c>
      <c r="EN8" s="560">
        <v>86.706000000000003</v>
      </c>
      <c r="EO8" s="560">
        <v>87.328999999999994</v>
      </c>
      <c r="EP8" s="560">
        <v>88.063999999999993</v>
      </c>
      <c r="EQ8" s="560">
        <v>88.677000000000007</v>
      </c>
      <c r="ER8" s="560">
        <v>89.334000000000003</v>
      </c>
      <c r="ES8" s="560">
        <v>89.799000000000007</v>
      </c>
      <c r="ET8" s="560">
        <v>90.566999999999993</v>
      </c>
      <c r="EU8" s="560">
        <v>91.290999999999997</v>
      </c>
      <c r="EV8" s="560">
        <v>91.92</v>
      </c>
      <c r="EW8" s="560">
        <v>92.656999999999996</v>
      </c>
      <c r="EX8" s="560">
        <v>93.438000000000002</v>
      </c>
      <c r="EY8" s="560">
        <v>94.394999999999996</v>
      </c>
      <c r="EZ8" s="560">
        <v>95.102999999999994</v>
      </c>
      <c r="FA8" s="560">
        <v>94.65</v>
      </c>
      <c r="FB8" s="560">
        <v>93.855999999999995</v>
      </c>
      <c r="FC8" s="560">
        <v>93.873000000000005</v>
      </c>
      <c r="FD8" s="560">
        <v>94.16</v>
      </c>
      <c r="FE8" s="560">
        <v>94.884</v>
      </c>
      <c r="FF8" s="560">
        <v>95.488</v>
      </c>
      <c r="FG8" s="560">
        <v>96.22</v>
      </c>
      <c r="FH8" s="560">
        <v>96.602000000000004</v>
      </c>
      <c r="FI8" s="560">
        <v>97.388000000000005</v>
      </c>
      <c r="FJ8" s="560">
        <v>98.263000000000005</v>
      </c>
      <c r="FK8" s="560">
        <v>99.152000000000001</v>
      </c>
      <c r="FL8" s="560">
        <v>99.497</v>
      </c>
      <c r="FM8" s="560">
        <v>99.364000000000004</v>
      </c>
      <c r="FN8" s="560">
        <v>99.707999999999998</v>
      </c>
      <c r="FO8" s="560">
        <v>99.927999999999997</v>
      </c>
      <c r="FP8" s="560">
        <v>100.12</v>
      </c>
      <c r="FQ8" s="560">
        <v>100.244</v>
      </c>
      <c r="FR8" s="560">
        <v>100.239</v>
      </c>
      <c r="FS8" s="560">
        <v>100.437</v>
      </c>
      <c r="FT8" s="560">
        <v>100.762</v>
      </c>
      <c r="FU8" s="560">
        <v>102.295</v>
      </c>
      <c r="FV8" s="560">
        <v>102.03100000000001</v>
      </c>
      <c r="FW8" s="560">
        <v>102.482</v>
      </c>
      <c r="FX8" s="560">
        <v>102.961</v>
      </c>
      <c r="FY8" s="560">
        <v>103.099</v>
      </c>
      <c r="FZ8" s="560">
        <v>102.93300000000001</v>
      </c>
      <c r="GA8" s="560">
        <v>103.13500000000001</v>
      </c>
      <c r="GB8" s="560">
        <v>103.29300000000001</v>
      </c>
      <c r="GC8" s="560">
        <v>103.211</v>
      </c>
      <c r="GD8" s="560">
        <v>102.953</v>
      </c>
      <c r="GE8" s="560">
        <v>103.50700000000001</v>
      </c>
      <c r="GF8" s="560">
        <v>103.90900000000001</v>
      </c>
      <c r="GG8" s="560">
        <v>104.41</v>
      </c>
      <c r="GH8" s="560">
        <v>104.958</v>
      </c>
      <c r="GI8" s="560">
        <v>105.35599999999999</v>
      </c>
      <c r="GJ8" s="560">
        <v>105.86</v>
      </c>
      <c r="GK8" s="560">
        <v>106.633</v>
      </c>
      <c r="GL8" s="560">
        <v>107.655</v>
      </c>
      <c r="GM8" s="560">
        <v>108.447</v>
      </c>
      <c r="GN8" s="560">
        <v>109.07299999999999</v>
      </c>
      <c r="GO8" s="560">
        <v>109.928</v>
      </c>
      <c r="GP8" s="560">
        <v>111.078</v>
      </c>
      <c r="GQ8" s="560">
        <v>110.303</v>
      </c>
      <c r="GR8" s="560">
        <v>110.673</v>
      </c>
      <c r="GS8" s="560">
        <v>111.068</v>
      </c>
      <c r="GT8" s="560">
        <v>111.4</v>
      </c>
      <c r="GU8" s="560">
        <v>111.444</v>
      </c>
      <c r="GV8" s="560">
        <v>112.26900000000001</v>
      </c>
      <c r="GW8" s="560">
        <v>112.959</v>
      </c>
      <c r="GX8" s="560">
        <v>114.065</v>
      </c>
      <c r="GY8" s="560">
        <v>115.19</v>
      </c>
    </row>
    <row r="9" spans="1:207">
      <c r="A9" s="560" t="s">
        <v>207</v>
      </c>
      <c r="B9" s="560">
        <v>13.706</v>
      </c>
      <c r="C9" s="560">
        <v>13.997</v>
      </c>
      <c r="D9" s="560">
        <v>14.25</v>
      </c>
      <c r="E9" s="560">
        <v>14.52</v>
      </c>
      <c r="F9" s="560">
        <v>14.849</v>
      </c>
      <c r="G9" s="560">
        <v>15.118</v>
      </c>
      <c r="H9" s="560">
        <v>15.331</v>
      </c>
      <c r="I9" s="560">
        <v>15.497999999999999</v>
      </c>
      <c r="J9" s="560">
        <v>15.845000000000001</v>
      </c>
      <c r="K9" s="560">
        <v>16.032</v>
      </c>
      <c r="L9" s="560">
        <v>16.276</v>
      </c>
      <c r="M9" s="560">
        <v>16.5</v>
      </c>
      <c r="N9" s="560">
        <v>16.824999999999999</v>
      </c>
      <c r="O9" s="560">
        <v>17.123999999999999</v>
      </c>
      <c r="P9" s="560">
        <v>17.353999999999999</v>
      </c>
      <c r="Q9" s="560">
        <v>17.683</v>
      </c>
      <c r="R9" s="560">
        <v>18.196000000000002</v>
      </c>
      <c r="S9" s="560">
        <v>18.829000000000001</v>
      </c>
      <c r="T9" s="560">
        <v>19.515999999999998</v>
      </c>
      <c r="U9" s="560">
        <v>20.09</v>
      </c>
      <c r="V9" s="560">
        <v>20.494</v>
      </c>
      <c r="W9" s="560">
        <v>20.9</v>
      </c>
      <c r="X9" s="560">
        <v>21.167000000000002</v>
      </c>
      <c r="Y9" s="560">
        <v>21.437999999999999</v>
      </c>
      <c r="Z9" s="560">
        <v>21.68</v>
      </c>
      <c r="AA9" s="560">
        <v>21.943000000000001</v>
      </c>
      <c r="AB9" s="560">
        <v>22.106000000000002</v>
      </c>
      <c r="AC9" s="560">
        <v>22.37</v>
      </c>
      <c r="AD9" s="560">
        <v>22.792000000000002</v>
      </c>
      <c r="AE9" s="560">
        <v>23.2</v>
      </c>
      <c r="AF9" s="560">
        <v>23.594999999999999</v>
      </c>
      <c r="AG9" s="560">
        <v>23.992999999999999</v>
      </c>
      <c r="AH9" s="560">
        <v>24.332000000000001</v>
      </c>
      <c r="AI9" s="560">
        <v>24.738</v>
      </c>
      <c r="AJ9" s="560">
        <v>25.114999999999998</v>
      </c>
      <c r="AK9" s="560">
        <v>25.475000000000001</v>
      </c>
      <c r="AL9" s="560">
        <v>26.081</v>
      </c>
      <c r="AM9" s="560">
        <v>26.678000000000001</v>
      </c>
      <c r="AN9" s="560">
        <v>27.582000000000001</v>
      </c>
      <c r="AO9" s="560">
        <v>28.120999999999999</v>
      </c>
      <c r="AP9" s="560">
        <v>28.853000000000002</v>
      </c>
      <c r="AQ9" s="560">
        <v>29.645</v>
      </c>
      <c r="AR9" s="560">
        <v>30.5</v>
      </c>
      <c r="AS9" s="560">
        <v>31.33</v>
      </c>
      <c r="AT9" s="560">
        <v>32.348999999999997</v>
      </c>
      <c r="AU9" s="560">
        <v>33.045000000000002</v>
      </c>
      <c r="AV9" s="560">
        <v>33.494</v>
      </c>
      <c r="AW9" s="560">
        <v>34.023000000000003</v>
      </c>
      <c r="AX9" s="560">
        <v>34.595999999999997</v>
      </c>
      <c r="AY9" s="560">
        <v>35.152000000000001</v>
      </c>
      <c r="AZ9" s="560">
        <v>35.704000000000001</v>
      </c>
      <c r="BA9" s="560">
        <v>36.158000000000001</v>
      </c>
      <c r="BB9" s="560">
        <v>36.417999999999999</v>
      </c>
      <c r="BC9" s="560">
        <v>36.817</v>
      </c>
      <c r="BD9" s="560">
        <v>37.173000000000002</v>
      </c>
      <c r="BE9" s="560">
        <v>37.456000000000003</v>
      </c>
      <c r="BF9" s="560">
        <v>37.999000000000002</v>
      </c>
      <c r="BG9" s="560">
        <v>38.360999999999997</v>
      </c>
      <c r="BH9" s="560">
        <v>38.719000000000001</v>
      </c>
      <c r="BI9" s="560">
        <v>39.103000000000002</v>
      </c>
      <c r="BJ9" s="560">
        <v>39.564</v>
      </c>
      <c r="BK9" s="560">
        <v>39.954000000000001</v>
      </c>
      <c r="BL9" s="560">
        <v>40.284999999999997</v>
      </c>
      <c r="BM9" s="560">
        <v>40.658000000000001</v>
      </c>
      <c r="BN9" s="560">
        <v>40.826999999999998</v>
      </c>
      <c r="BO9" s="560">
        <v>41.006999999999998</v>
      </c>
      <c r="BP9" s="560">
        <v>41.362000000000002</v>
      </c>
      <c r="BQ9" s="560">
        <v>41.887999999999998</v>
      </c>
      <c r="BR9" s="560">
        <v>42.487000000000002</v>
      </c>
      <c r="BS9" s="560">
        <v>43.006</v>
      </c>
      <c r="BT9" s="560">
        <v>43.521000000000001</v>
      </c>
      <c r="BU9" s="560">
        <v>43.78</v>
      </c>
      <c r="BV9" s="560">
        <v>44.005000000000003</v>
      </c>
      <c r="BW9" s="560">
        <v>44.433999999999997</v>
      </c>
      <c r="BX9" s="560">
        <v>44.808</v>
      </c>
      <c r="BY9" s="560">
        <v>45.320999999999998</v>
      </c>
      <c r="BZ9" s="560">
        <v>45.917000000000002</v>
      </c>
      <c r="CA9" s="560">
        <v>46.54</v>
      </c>
      <c r="CB9" s="560">
        <v>46.975999999999999</v>
      </c>
      <c r="CC9" s="560">
        <v>47.582999999999998</v>
      </c>
      <c r="CD9" s="560">
        <v>48.256</v>
      </c>
      <c r="CE9" s="560">
        <v>48.753999999999998</v>
      </c>
      <c r="CF9" s="560">
        <v>49.417000000000002</v>
      </c>
      <c r="CG9" s="560">
        <v>50.195</v>
      </c>
      <c r="CH9" s="560">
        <v>50.405999999999999</v>
      </c>
      <c r="CI9" s="560">
        <v>50.710999999999999</v>
      </c>
      <c r="CJ9" s="560">
        <v>51.128999999999998</v>
      </c>
      <c r="CK9" s="560">
        <v>51.575000000000003</v>
      </c>
      <c r="CL9" s="560">
        <v>51.942999999999998</v>
      </c>
      <c r="CM9" s="560">
        <v>52.563000000000002</v>
      </c>
      <c r="CN9" s="560">
        <v>52.951000000000001</v>
      </c>
      <c r="CO9" s="560">
        <v>53.311999999999998</v>
      </c>
      <c r="CP9" s="560">
        <v>53.622</v>
      </c>
      <c r="CQ9" s="560">
        <v>53.938000000000002</v>
      </c>
      <c r="CR9" s="560">
        <v>54.091999999999999</v>
      </c>
      <c r="CS9" s="560">
        <v>54.365000000000002</v>
      </c>
      <c r="CT9" s="560">
        <v>54.808999999999997</v>
      </c>
      <c r="CU9" s="560">
        <v>55.113999999999997</v>
      </c>
      <c r="CV9" s="560">
        <v>55.595999999999997</v>
      </c>
      <c r="CW9" s="560">
        <v>56.067999999999998</v>
      </c>
      <c r="CX9" s="560">
        <v>56.381</v>
      </c>
      <c r="CY9" s="560">
        <v>56.808999999999997</v>
      </c>
      <c r="CZ9" s="560">
        <v>57.042999999999999</v>
      </c>
      <c r="DA9" s="560">
        <v>57.261000000000003</v>
      </c>
      <c r="DB9" s="560">
        <v>57.832999999999998</v>
      </c>
      <c r="DC9" s="560">
        <v>57.911999999999999</v>
      </c>
      <c r="DD9" s="560">
        <v>58.277999999999999</v>
      </c>
      <c r="DE9" s="560">
        <v>58.695999999999998</v>
      </c>
      <c r="DF9" s="560">
        <v>59.085000000000001</v>
      </c>
      <c r="DG9" s="560">
        <v>59.276000000000003</v>
      </c>
      <c r="DH9" s="560">
        <v>59.533999999999999</v>
      </c>
      <c r="DI9" s="560">
        <v>60</v>
      </c>
      <c r="DJ9" s="560">
        <v>60.081000000000003</v>
      </c>
      <c r="DK9" s="560">
        <v>60.347000000000001</v>
      </c>
      <c r="DL9" s="560">
        <v>60.798999999999999</v>
      </c>
      <c r="DM9" s="560">
        <v>61.307000000000002</v>
      </c>
      <c r="DN9" s="560">
        <v>61.777999999999999</v>
      </c>
      <c r="DO9" s="560">
        <v>62.613999999999997</v>
      </c>
      <c r="DP9" s="560">
        <v>63.366</v>
      </c>
      <c r="DQ9" s="560">
        <v>64.093999999999994</v>
      </c>
      <c r="DR9" s="560">
        <v>64.912999999999997</v>
      </c>
      <c r="DS9" s="560">
        <v>65.602000000000004</v>
      </c>
      <c r="DT9" s="560">
        <v>66.305999999999997</v>
      </c>
      <c r="DU9" s="560">
        <v>67.134</v>
      </c>
      <c r="DV9" s="560">
        <v>67.936000000000007</v>
      </c>
      <c r="DW9" s="560">
        <v>68.201999999999998</v>
      </c>
      <c r="DX9" s="560">
        <v>68.381</v>
      </c>
      <c r="DY9" s="560">
        <v>68.513999999999996</v>
      </c>
      <c r="DZ9" s="560">
        <v>68.930999999999997</v>
      </c>
      <c r="EA9" s="560">
        <v>69.551000000000002</v>
      </c>
      <c r="EB9" s="560">
        <v>70.051000000000002</v>
      </c>
      <c r="EC9" s="560">
        <v>70.635999999999996</v>
      </c>
      <c r="ED9" s="560">
        <v>71.641999999999996</v>
      </c>
      <c r="EE9" s="560">
        <v>71.694000000000003</v>
      </c>
      <c r="EF9" s="560">
        <v>72.174999999999997</v>
      </c>
      <c r="EG9" s="560">
        <v>72.741</v>
      </c>
      <c r="EH9" s="560">
        <v>73.661000000000001</v>
      </c>
      <c r="EI9" s="560">
        <v>74.712999999999994</v>
      </c>
      <c r="EJ9" s="560">
        <v>75.923000000000002</v>
      </c>
      <c r="EK9" s="560">
        <v>77.230999999999995</v>
      </c>
      <c r="EL9" s="560">
        <v>77.924999999999997</v>
      </c>
      <c r="EM9" s="560">
        <v>78.921999999999997</v>
      </c>
      <c r="EN9" s="560">
        <v>80.183000000000007</v>
      </c>
      <c r="EO9" s="560">
        <v>81.492999999999995</v>
      </c>
      <c r="EP9" s="560">
        <v>82.072999999999993</v>
      </c>
      <c r="EQ9" s="560">
        <v>83.332999999999998</v>
      </c>
      <c r="ER9" s="560">
        <v>84.168999999999997</v>
      </c>
      <c r="ES9" s="560">
        <v>85.058999999999997</v>
      </c>
      <c r="ET9" s="560">
        <v>86.683000000000007</v>
      </c>
      <c r="EU9" s="560">
        <v>87.617000000000004</v>
      </c>
      <c r="EV9" s="560">
        <v>88.57</v>
      </c>
      <c r="EW9" s="560">
        <v>89.855000000000004</v>
      </c>
      <c r="EX9" s="560">
        <v>91.295000000000002</v>
      </c>
      <c r="EY9" s="560">
        <v>92.566000000000003</v>
      </c>
      <c r="EZ9" s="560">
        <v>93.808000000000007</v>
      </c>
      <c r="FA9" s="560">
        <v>92.691999999999993</v>
      </c>
      <c r="FB9" s="560">
        <v>91.491</v>
      </c>
      <c r="FC9" s="560">
        <v>91.691999999999993</v>
      </c>
      <c r="FD9" s="560">
        <v>92.161000000000001</v>
      </c>
      <c r="FE9" s="560">
        <v>92.837999999999994</v>
      </c>
      <c r="FF9" s="560">
        <v>93.757999999999996</v>
      </c>
      <c r="FG9" s="560">
        <v>94.382999999999996</v>
      </c>
      <c r="FH9" s="560">
        <v>94.876999999999995</v>
      </c>
      <c r="FI9" s="560">
        <v>95.677999999999997</v>
      </c>
      <c r="FJ9" s="560">
        <v>96.65</v>
      </c>
      <c r="FK9" s="560">
        <v>97.813999999999993</v>
      </c>
      <c r="FL9" s="560">
        <v>98.319000000000003</v>
      </c>
      <c r="FM9" s="560">
        <v>98.203999999999994</v>
      </c>
      <c r="FN9" s="560">
        <v>99.400999999999996</v>
      </c>
      <c r="FO9" s="560">
        <v>99.402000000000001</v>
      </c>
      <c r="FP9" s="560">
        <v>99.99</v>
      </c>
      <c r="FQ9" s="560">
        <v>101.208</v>
      </c>
      <c r="FR9" s="560">
        <v>102.371</v>
      </c>
      <c r="FS9" s="560">
        <v>102.91200000000001</v>
      </c>
      <c r="FT9" s="560">
        <v>103.727</v>
      </c>
      <c r="FU9" s="560">
        <v>104.318</v>
      </c>
      <c r="FV9" s="560">
        <v>105.145</v>
      </c>
      <c r="FW9" s="560">
        <v>105.502</v>
      </c>
      <c r="FX9" s="560">
        <v>106.09</v>
      </c>
      <c r="FY9" s="560">
        <v>106.054</v>
      </c>
      <c r="FZ9" s="560">
        <v>105.176</v>
      </c>
      <c r="GA9" s="560">
        <v>105.863</v>
      </c>
      <c r="GB9" s="560">
        <v>105.96899999999999</v>
      </c>
      <c r="GC9" s="560">
        <v>105.61499999999999</v>
      </c>
      <c r="GD9" s="560">
        <v>104.83</v>
      </c>
      <c r="GE9" s="560">
        <v>105.637</v>
      </c>
      <c r="GF9" s="560">
        <v>105.985</v>
      </c>
      <c r="GG9" s="560">
        <v>106.504</v>
      </c>
      <c r="GH9" s="560">
        <v>107.471</v>
      </c>
      <c r="GI9" s="560">
        <v>107.785</v>
      </c>
      <c r="GJ9" s="560">
        <v>108.765</v>
      </c>
      <c r="GK9" s="560">
        <v>110.07599999999999</v>
      </c>
      <c r="GL9" s="560">
        <v>111.383</v>
      </c>
      <c r="GM9" s="560">
        <v>112.61499999999999</v>
      </c>
      <c r="GN9" s="560">
        <v>113.63200000000001</v>
      </c>
      <c r="GO9" s="560">
        <v>114.307</v>
      </c>
      <c r="GP9" s="560">
        <v>114.014</v>
      </c>
      <c r="GQ9" s="560">
        <v>114.878</v>
      </c>
      <c r="GR9" s="560">
        <v>115.114</v>
      </c>
      <c r="GS9" s="560">
        <v>115.447</v>
      </c>
      <c r="GT9" s="560">
        <v>116.536</v>
      </c>
      <c r="GU9" s="560">
        <v>116.093</v>
      </c>
      <c r="GV9" s="560">
        <v>116.65900000000001</v>
      </c>
      <c r="GW9" s="560">
        <v>117.611</v>
      </c>
      <c r="GX9" s="560">
        <v>119.416</v>
      </c>
      <c r="GY9" s="560">
        <v>121.509</v>
      </c>
    </row>
    <row r="10" spans="1:207">
      <c r="A10" s="560" t="s">
        <v>208</v>
      </c>
      <c r="B10" s="560">
        <v>13.106999999999999</v>
      </c>
      <c r="C10" s="560">
        <v>13.368</v>
      </c>
      <c r="D10" s="560">
        <v>13.603999999999999</v>
      </c>
      <c r="E10" s="560">
        <v>13.833</v>
      </c>
      <c r="F10" s="560">
        <v>14.173999999999999</v>
      </c>
      <c r="G10" s="560">
        <v>14.439</v>
      </c>
      <c r="H10" s="560">
        <v>14.657</v>
      </c>
      <c r="I10" s="560">
        <v>14.79</v>
      </c>
      <c r="J10" s="560">
        <v>15.162000000000001</v>
      </c>
      <c r="K10" s="560">
        <v>15.361000000000001</v>
      </c>
      <c r="L10" s="560">
        <v>15.6</v>
      </c>
      <c r="M10" s="560">
        <v>15.794</v>
      </c>
      <c r="N10" s="560">
        <v>16.106000000000002</v>
      </c>
      <c r="O10" s="560">
        <v>16.378</v>
      </c>
      <c r="P10" s="560">
        <v>16.568000000000001</v>
      </c>
      <c r="Q10" s="560">
        <v>16.846</v>
      </c>
      <c r="R10" s="560">
        <v>17.254999999999999</v>
      </c>
      <c r="S10" s="560">
        <v>17.719000000000001</v>
      </c>
      <c r="T10" s="560">
        <v>18.228000000000002</v>
      </c>
      <c r="U10" s="560">
        <v>18.704000000000001</v>
      </c>
      <c r="V10" s="560">
        <v>19.077999999999999</v>
      </c>
      <c r="W10" s="560">
        <v>19.538</v>
      </c>
      <c r="X10" s="560">
        <v>19.838000000000001</v>
      </c>
      <c r="Y10" s="560">
        <v>20.126999999999999</v>
      </c>
      <c r="Z10" s="560">
        <v>20.388999999999999</v>
      </c>
      <c r="AA10" s="560">
        <v>20.655000000000001</v>
      </c>
      <c r="AB10" s="560">
        <v>20.835999999999999</v>
      </c>
      <c r="AC10" s="560">
        <v>21.111000000000001</v>
      </c>
      <c r="AD10" s="560">
        <v>21.54</v>
      </c>
      <c r="AE10" s="560">
        <v>21.968</v>
      </c>
      <c r="AF10" s="560">
        <v>22.361000000000001</v>
      </c>
      <c r="AG10" s="560">
        <v>22.771000000000001</v>
      </c>
      <c r="AH10" s="560">
        <v>23.102</v>
      </c>
      <c r="AI10" s="560">
        <v>23.472000000000001</v>
      </c>
      <c r="AJ10" s="560">
        <v>23.808</v>
      </c>
      <c r="AK10" s="560">
        <v>24.126999999999999</v>
      </c>
      <c r="AL10" s="560">
        <v>24.719000000000001</v>
      </c>
      <c r="AM10" s="560">
        <v>25.259</v>
      </c>
      <c r="AN10" s="560">
        <v>26.146000000000001</v>
      </c>
      <c r="AO10" s="560">
        <v>26.596</v>
      </c>
      <c r="AP10" s="560">
        <v>27.28</v>
      </c>
      <c r="AQ10" s="560">
        <v>28.02</v>
      </c>
      <c r="AR10" s="560">
        <v>28.798999999999999</v>
      </c>
      <c r="AS10" s="560">
        <v>29.565000000000001</v>
      </c>
      <c r="AT10" s="560">
        <v>30.556000000000001</v>
      </c>
      <c r="AU10" s="560">
        <v>31.195</v>
      </c>
      <c r="AV10" s="560">
        <v>31.568000000000001</v>
      </c>
      <c r="AW10" s="560">
        <v>32.052</v>
      </c>
      <c r="AX10" s="560">
        <v>32.613999999999997</v>
      </c>
      <c r="AY10" s="560">
        <v>33.134</v>
      </c>
      <c r="AZ10" s="560">
        <v>33.683999999999997</v>
      </c>
      <c r="BA10" s="560">
        <v>34.19</v>
      </c>
      <c r="BB10" s="560">
        <v>34.482999999999997</v>
      </c>
      <c r="BC10" s="560">
        <v>34.954000000000001</v>
      </c>
      <c r="BD10" s="560">
        <v>35.363</v>
      </c>
      <c r="BE10" s="560">
        <v>35.694000000000003</v>
      </c>
      <c r="BF10" s="560">
        <v>36.32</v>
      </c>
      <c r="BG10" s="560">
        <v>36.716000000000001</v>
      </c>
      <c r="BH10" s="560">
        <v>37.11</v>
      </c>
      <c r="BI10" s="560">
        <v>37.548000000000002</v>
      </c>
      <c r="BJ10" s="560">
        <v>38.043999999999997</v>
      </c>
      <c r="BK10" s="560">
        <v>38.478999999999999</v>
      </c>
      <c r="BL10" s="560">
        <v>38.835999999999999</v>
      </c>
      <c r="BM10" s="560">
        <v>39.226999999999997</v>
      </c>
      <c r="BN10" s="560">
        <v>39.371000000000002</v>
      </c>
      <c r="BO10" s="560">
        <v>39.488999999999997</v>
      </c>
      <c r="BP10" s="560">
        <v>39.826999999999998</v>
      </c>
      <c r="BQ10" s="560">
        <v>40.351999999999997</v>
      </c>
      <c r="BR10" s="560">
        <v>41.005000000000003</v>
      </c>
      <c r="BS10" s="560">
        <v>41.545000000000002</v>
      </c>
      <c r="BT10" s="560">
        <v>42.072000000000003</v>
      </c>
      <c r="BU10" s="560">
        <v>42.329000000000001</v>
      </c>
      <c r="BV10" s="560">
        <v>42.517000000000003</v>
      </c>
      <c r="BW10" s="560">
        <v>42.975000000000001</v>
      </c>
      <c r="BX10" s="560">
        <v>43.356999999999999</v>
      </c>
      <c r="BY10" s="560">
        <v>43.918999999999997</v>
      </c>
      <c r="BZ10" s="560">
        <v>44.585000000000001</v>
      </c>
      <c r="CA10" s="560">
        <v>45.247999999999998</v>
      </c>
      <c r="CB10" s="560">
        <v>45.692999999999998</v>
      </c>
      <c r="CC10" s="560">
        <v>46.363999999999997</v>
      </c>
      <c r="CD10" s="560">
        <v>47.098999999999997</v>
      </c>
      <c r="CE10" s="560">
        <v>47.601999999999997</v>
      </c>
      <c r="CF10" s="560">
        <v>48.293999999999997</v>
      </c>
      <c r="CG10" s="560">
        <v>49.207999999999998</v>
      </c>
      <c r="CH10" s="560">
        <v>49.442</v>
      </c>
      <c r="CI10" s="560">
        <v>49.752000000000002</v>
      </c>
      <c r="CJ10" s="560">
        <v>50.226999999999997</v>
      </c>
      <c r="CK10" s="560">
        <v>50.798000000000002</v>
      </c>
      <c r="CL10" s="560">
        <v>51.277999999999999</v>
      </c>
      <c r="CM10" s="560">
        <v>51.975000000000001</v>
      </c>
      <c r="CN10" s="560">
        <v>52.42</v>
      </c>
      <c r="CO10" s="560">
        <v>52.802999999999997</v>
      </c>
      <c r="CP10" s="560">
        <v>53.091999999999999</v>
      </c>
      <c r="CQ10" s="560">
        <v>53.405999999999999</v>
      </c>
      <c r="CR10" s="560">
        <v>53.58</v>
      </c>
      <c r="CS10" s="560">
        <v>53.853999999999999</v>
      </c>
      <c r="CT10" s="560">
        <v>54.305</v>
      </c>
      <c r="CU10" s="560">
        <v>54.621000000000002</v>
      </c>
      <c r="CV10" s="560">
        <v>55.097999999999999</v>
      </c>
      <c r="CW10" s="560">
        <v>55.569000000000003</v>
      </c>
      <c r="CX10" s="560">
        <v>55.825000000000003</v>
      </c>
      <c r="CY10" s="560">
        <v>56.253999999999998</v>
      </c>
      <c r="CZ10" s="560">
        <v>56.468000000000004</v>
      </c>
      <c r="DA10" s="560">
        <v>56.66</v>
      </c>
      <c r="DB10" s="560">
        <v>57.283999999999999</v>
      </c>
      <c r="DC10" s="560">
        <v>57.366</v>
      </c>
      <c r="DD10" s="560">
        <v>57.746000000000002</v>
      </c>
      <c r="DE10" s="560">
        <v>58.213999999999999</v>
      </c>
      <c r="DF10" s="560">
        <v>58.613</v>
      </c>
      <c r="DG10" s="560">
        <v>58.753</v>
      </c>
      <c r="DH10" s="560">
        <v>59.033999999999999</v>
      </c>
      <c r="DI10" s="560">
        <v>59.515999999999998</v>
      </c>
      <c r="DJ10" s="560">
        <v>59.61</v>
      </c>
      <c r="DK10" s="560">
        <v>59.927</v>
      </c>
      <c r="DL10" s="560">
        <v>60.395000000000003</v>
      </c>
      <c r="DM10" s="560">
        <v>60.939</v>
      </c>
      <c r="DN10" s="560">
        <v>61.46</v>
      </c>
      <c r="DO10" s="560">
        <v>62.381999999999998</v>
      </c>
      <c r="DP10" s="560">
        <v>63.246000000000002</v>
      </c>
      <c r="DQ10" s="560">
        <v>64.018000000000001</v>
      </c>
      <c r="DR10" s="560">
        <v>64.912000000000006</v>
      </c>
      <c r="DS10" s="560">
        <v>65.59</v>
      </c>
      <c r="DT10" s="560">
        <v>66.358999999999995</v>
      </c>
      <c r="DU10" s="560">
        <v>67.293000000000006</v>
      </c>
      <c r="DV10" s="560">
        <v>68.191000000000003</v>
      </c>
      <c r="DW10" s="560">
        <v>68.48</v>
      </c>
      <c r="DX10" s="560">
        <v>68.652000000000001</v>
      </c>
      <c r="DY10" s="560">
        <v>68.728999999999999</v>
      </c>
      <c r="DZ10" s="560">
        <v>69.174999999999997</v>
      </c>
      <c r="EA10" s="560">
        <v>69.855999999999995</v>
      </c>
      <c r="EB10" s="560">
        <v>70.427999999999997</v>
      </c>
      <c r="EC10" s="560">
        <v>71.129000000000005</v>
      </c>
      <c r="ED10" s="560">
        <v>72.244</v>
      </c>
      <c r="EE10" s="560">
        <v>72.290999999999997</v>
      </c>
      <c r="EF10" s="560">
        <v>72.872</v>
      </c>
      <c r="EG10" s="560">
        <v>73.531999999999996</v>
      </c>
      <c r="EH10" s="560">
        <v>74.569999999999993</v>
      </c>
      <c r="EI10" s="560">
        <v>75.561000000000007</v>
      </c>
      <c r="EJ10" s="560">
        <v>76.591999999999999</v>
      </c>
      <c r="EK10" s="560">
        <v>77.790000000000006</v>
      </c>
      <c r="EL10" s="560">
        <v>78.498000000000005</v>
      </c>
      <c r="EM10" s="560">
        <v>79.393000000000001</v>
      </c>
      <c r="EN10" s="560">
        <v>80.545000000000002</v>
      </c>
      <c r="EO10" s="560">
        <v>81.906000000000006</v>
      </c>
      <c r="EP10" s="560">
        <v>82.507999999999996</v>
      </c>
      <c r="EQ10" s="560">
        <v>83.641999999999996</v>
      </c>
      <c r="ER10" s="560">
        <v>84.402000000000001</v>
      </c>
      <c r="ES10" s="560">
        <v>85.034999999999997</v>
      </c>
      <c r="ET10" s="560">
        <v>86.531999999999996</v>
      </c>
      <c r="EU10" s="560">
        <v>87.468999999999994</v>
      </c>
      <c r="EV10" s="560">
        <v>88.447000000000003</v>
      </c>
      <c r="EW10" s="560">
        <v>89.787999999999997</v>
      </c>
      <c r="EX10" s="560">
        <v>91.369</v>
      </c>
      <c r="EY10" s="560">
        <v>92.781000000000006</v>
      </c>
      <c r="EZ10" s="560">
        <v>94.036000000000001</v>
      </c>
      <c r="FA10" s="560">
        <v>92.242000000000004</v>
      </c>
      <c r="FB10" s="560">
        <v>90.620999999999995</v>
      </c>
      <c r="FC10" s="560">
        <v>91.066999999999993</v>
      </c>
      <c r="FD10" s="560">
        <v>91.849000000000004</v>
      </c>
      <c r="FE10" s="560">
        <v>92.700999999999993</v>
      </c>
      <c r="FF10" s="560">
        <v>93.771000000000001</v>
      </c>
      <c r="FG10" s="560">
        <v>94.444999999999993</v>
      </c>
      <c r="FH10" s="560">
        <v>94.984999999999999</v>
      </c>
      <c r="FI10" s="560">
        <v>95.872</v>
      </c>
      <c r="FJ10" s="560">
        <v>96.936000000000007</v>
      </c>
      <c r="FK10" s="560">
        <v>98.144999999999996</v>
      </c>
      <c r="FL10" s="560">
        <v>98.516999999999996</v>
      </c>
      <c r="FM10" s="560">
        <v>98.168000000000006</v>
      </c>
      <c r="FN10" s="560">
        <v>99.47</v>
      </c>
      <c r="FO10" s="560">
        <v>99.296000000000006</v>
      </c>
      <c r="FP10" s="560">
        <v>99.897000000000006</v>
      </c>
      <c r="FQ10" s="560">
        <v>101.337</v>
      </c>
      <c r="FR10" s="560">
        <v>102.663</v>
      </c>
      <c r="FS10" s="560">
        <v>103.21</v>
      </c>
      <c r="FT10" s="560">
        <v>104.08199999999999</v>
      </c>
      <c r="FU10" s="560">
        <v>104.636</v>
      </c>
      <c r="FV10" s="560">
        <v>105.515</v>
      </c>
      <c r="FW10" s="560">
        <v>105.848</v>
      </c>
      <c r="FX10" s="560">
        <v>106.45399999999999</v>
      </c>
      <c r="FY10" s="560">
        <v>106.371</v>
      </c>
      <c r="FZ10" s="560">
        <v>105.31</v>
      </c>
      <c r="GA10" s="560">
        <v>106.047</v>
      </c>
      <c r="GB10" s="560">
        <v>106.111</v>
      </c>
      <c r="GC10" s="560">
        <v>105.693</v>
      </c>
      <c r="GD10" s="560">
        <v>104.792</v>
      </c>
      <c r="GE10" s="560">
        <v>105.589</v>
      </c>
      <c r="GF10" s="560">
        <v>105.995</v>
      </c>
      <c r="GG10" s="560">
        <v>106.51600000000001</v>
      </c>
      <c r="GH10" s="560">
        <v>107.53400000000001</v>
      </c>
      <c r="GI10" s="560">
        <v>107.80200000000001</v>
      </c>
      <c r="GJ10" s="560">
        <v>108.785</v>
      </c>
      <c r="GK10" s="560">
        <v>110.252</v>
      </c>
      <c r="GL10" s="560">
        <v>111.627</v>
      </c>
      <c r="GM10" s="560">
        <v>112.81100000000001</v>
      </c>
      <c r="GN10" s="560">
        <v>113.875</v>
      </c>
      <c r="GO10" s="560">
        <v>114.43899999999999</v>
      </c>
      <c r="GP10" s="560">
        <v>113.98</v>
      </c>
      <c r="GQ10" s="560">
        <v>114.758</v>
      </c>
      <c r="GR10" s="560">
        <v>114.919</v>
      </c>
      <c r="GS10" s="560">
        <v>115.285</v>
      </c>
      <c r="GT10" s="560">
        <v>116.54600000000001</v>
      </c>
      <c r="GU10" s="560">
        <v>116.072</v>
      </c>
      <c r="GV10" s="560">
        <v>116.51900000000001</v>
      </c>
      <c r="GW10" s="560">
        <v>117.593</v>
      </c>
      <c r="GX10" s="560">
        <v>119.419</v>
      </c>
      <c r="GY10" s="560">
        <v>121.39700000000001</v>
      </c>
    </row>
    <row r="11" spans="1:207">
      <c r="A11" s="560" t="s">
        <v>209</v>
      </c>
      <c r="B11" s="560">
        <v>16.824999999999999</v>
      </c>
      <c r="C11" s="560">
        <v>17.248000000000001</v>
      </c>
      <c r="D11" s="560">
        <v>17.582000000000001</v>
      </c>
      <c r="E11" s="560">
        <v>18.027999999999999</v>
      </c>
      <c r="F11" s="560">
        <v>18.332000000000001</v>
      </c>
      <c r="G11" s="560">
        <v>18.625</v>
      </c>
      <c r="H11" s="560">
        <v>18.827999999999999</v>
      </c>
      <c r="I11" s="560">
        <v>19.152999999999999</v>
      </c>
      <c r="J11" s="560">
        <v>19.398</v>
      </c>
      <c r="K11" s="560">
        <v>19.533999999999999</v>
      </c>
      <c r="L11" s="560">
        <v>19.805</v>
      </c>
      <c r="M11" s="560">
        <v>20.175000000000001</v>
      </c>
      <c r="N11" s="560">
        <v>20.564</v>
      </c>
      <c r="O11" s="560">
        <v>20.997</v>
      </c>
      <c r="P11" s="560">
        <v>21.425000000000001</v>
      </c>
      <c r="Q11" s="560">
        <v>22</v>
      </c>
      <c r="R11" s="560">
        <v>23.02</v>
      </c>
      <c r="S11" s="560">
        <v>24.466999999999999</v>
      </c>
      <c r="T11" s="560">
        <v>26.030999999999999</v>
      </c>
      <c r="U11" s="560">
        <v>27.113</v>
      </c>
      <c r="V11" s="560">
        <v>27.689</v>
      </c>
      <c r="W11" s="560">
        <v>27.826000000000001</v>
      </c>
      <c r="X11" s="560">
        <v>27.914000000000001</v>
      </c>
      <c r="Y11" s="560">
        <v>28.084</v>
      </c>
      <c r="Z11" s="560">
        <v>28.222000000000001</v>
      </c>
      <c r="AA11" s="560">
        <v>28.463999999999999</v>
      </c>
      <c r="AB11" s="560">
        <v>28.526</v>
      </c>
      <c r="AC11" s="560">
        <v>28.72</v>
      </c>
      <c r="AD11" s="560">
        <v>29.091999999999999</v>
      </c>
      <c r="AE11" s="560">
        <v>29.379000000000001</v>
      </c>
      <c r="AF11" s="560">
        <v>29.774000000000001</v>
      </c>
      <c r="AG11" s="560">
        <v>30.091999999999999</v>
      </c>
      <c r="AH11" s="560">
        <v>30.465</v>
      </c>
      <c r="AI11" s="560">
        <v>31.064</v>
      </c>
      <c r="AJ11" s="560">
        <v>31.658000000000001</v>
      </c>
      <c r="AK11" s="560">
        <v>32.223999999999997</v>
      </c>
      <c r="AL11" s="560">
        <v>32.889000000000003</v>
      </c>
      <c r="AM11" s="560">
        <v>33.781999999999996</v>
      </c>
      <c r="AN11" s="560">
        <v>34.768000000000001</v>
      </c>
      <c r="AO11" s="560">
        <v>35.753999999999998</v>
      </c>
      <c r="AP11" s="560">
        <v>36.731000000000002</v>
      </c>
      <c r="AQ11" s="560">
        <v>37.784999999999997</v>
      </c>
      <c r="AR11" s="560">
        <v>39.027000000000001</v>
      </c>
      <c r="AS11" s="560">
        <v>40.182000000000002</v>
      </c>
      <c r="AT11" s="560">
        <v>41.32</v>
      </c>
      <c r="AU11" s="560">
        <v>42.308</v>
      </c>
      <c r="AV11" s="560">
        <v>43.174999999999997</v>
      </c>
      <c r="AW11" s="560">
        <v>43.944000000000003</v>
      </c>
      <c r="AX11" s="560">
        <v>44.56</v>
      </c>
      <c r="AY11" s="560">
        <v>45.305</v>
      </c>
      <c r="AZ11" s="560">
        <v>45.84</v>
      </c>
      <c r="BA11" s="560">
        <v>45.956000000000003</v>
      </c>
      <c r="BB11" s="560">
        <v>45.999000000000002</v>
      </c>
      <c r="BC11" s="560">
        <v>45.936999999999998</v>
      </c>
      <c r="BD11" s="560">
        <v>45.963000000000001</v>
      </c>
      <c r="BE11" s="560">
        <v>45.95</v>
      </c>
      <c r="BF11" s="560">
        <v>46</v>
      </c>
      <c r="BG11" s="560">
        <v>46.162999999999997</v>
      </c>
      <c r="BH11" s="560">
        <v>46.311999999999998</v>
      </c>
      <c r="BI11" s="560">
        <v>46.405999999999999</v>
      </c>
      <c r="BJ11" s="560">
        <v>46.664000000000001</v>
      </c>
      <c r="BK11" s="560">
        <v>46.808</v>
      </c>
      <c r="BL11" s="560">
        <v>47</v>
      </c>
      <c r="BM11" s="560">
        <v>47.28</v>
      </c>
      <c r="BN11" s="560">
        <v>47.573999999999998</v>
      </c>
      <c r="BO11" s="560">
        <v>48.063000000000002</v>
      </c>
      <c r="BP11" s="560">
        <v>48.500999999999998</v>
      </c>
      <c r="BQ11" s="560">
        <v>49.026000000000003</v>
      </c>
      <c r="BR11" s="560">
        <v>49.34</v>
      </c>
      <c r="BS11" s="560">
        <v>49.755000000000003</v>
      </c>
      <c r="BT11" s="560">
        <v>50.198</v>
      </c>
      <c r="BU11" s="560">
        <v>50.463999999999999</v>
      </c>
      <c r="BV11" s="560">
        <v>50.87</v>
      </c>
      <c r="BW11" s="560">
        <v>51.151000000000003</v>
      </c>
      <c r="BX11" s="560">
        <v>51.481000000000002</v>
      </c>
      <c r="BY11" s="560">
        <v>51.753</v>
      </c>
      <c r="BZ11" s="560">
        <v>52.003</v>
      </c>
      <c r="CA11" s="560">
        <v>52.424999999999997</v>
      </c>
      <c r="CB11" s="560">
        <v>52.814</v>
      </c>
      <c r="CC11" s="560">
        <v>53.104999999999997</v>
      </c>
      <c r="CD11" s="560">
        <v>53.487000000000002</v>
      </c>
      <c r="CE11" s="560">
        <v>53.959000000000003</v>
      </c>
      <c r="CF11" s="560">
        <v>54.482999999999997</v>
      </c>
      <c r="CG11" s="560">
        <v>54.628</v>
      </c>
      <c r="CH11" s="560">
        <v>54.735999999999997</v>
      </c>
      <c r="CI11" s="560">
        <v>55.018000000000001</v>
      </c>
      <c r="CJ11" s="560">
        <v>55.164000000000001</v>
      </c>
      <c r="CK11" s="560">
        <v>55.026000000000003</v>
      </c>
      <c r="CL11" s="560">
        <v>54.881999999999998</v>
      </c>
      <c r="CM11" s="560">
        <v>55.142000000000003</v>
      </c>
      <c r="CN11" s="560">
        <v>55.253999999999998</v>
      </c>
      <c r="CO11" s="560">
        <v>55.506</v>
      </c>
      <c r="CP11" s="560">
        <v>55.918999999999997</v>
      </c>
      <c r="CQ11" s="560">
        <v>56.244999999999997</v>
      </c>
      <c r="CR11" s="560">
        <v>56.302</v>
      </c>
      <c r="CS11" s="560">
        <v>56.564999999999998</v>
      </c>
      <c r="CT11" s="560">
        <v>56.978000000000002</v>
      </c>
      <c r="CU11" s="560">
        <v>57.225000000000001</v>
      </c>
      <c r="CV11" s="560">
        <v>57.725999999999999</v>
      </c>
      <c r="CW11" s="560">
        <v>58.207000000000001</v>
      </c>
      <c r="CX11" s="560">
        <v>58.787999999999997</v>
      </c>
      <c r="CY11" s="560">
        <v>59.207999999999998</v>
      </c>
      <c r="CZ11" s="560">
        <v>59.534999999999997</v>
      </c>
      <c r="DA11" s="560">
        <v>59.878</v>
      </c>
      <c r="DB11" s="560">
        <v>60.198999999999998</v>
      </c>
      <c r="DC11" s="560">
        <v>60.265999999999998</v>
      </c>
      <c r="DD11" s="560">
        <v>60.564999999999998</v>
      </c>
      <c r="DE11" s="560">
        <v>60.761000000000003</v>
      </c>
      <c r="DF11" s="560">
        <v>61.103999999999999</v>
      </c>
      <c r="DG11" s="560">
        <v>61.521000000000001</v>
      </c>
      <c r="DH11" s="560">
        <v>61.677</v>
      </c>
      <c r="DI11" s="560">
        <v>62.073999999999998</v>
      </c>
      <c r="DJ11" s="560">
        <v>62.094999999999999</v>
      </c>
      <c r="DK11" s="560">
        <v>62.134</v>
      </c>
      <c r="DL11" s="560">
        <v>62.517000000000003</v>
      </c>
      <c r="DM11" s="560">
        <v>62.87</v>
      </c>
      <c r="DN11" s="560">
        <v>63.122</v>
      </c>
      <c r="DO11" s="560">
        <v>63.59</v>
      </c>
      <c r="DP11" s="560">
        <v>63.857999999999997</v>
      </c>
      <c r="DQ11" s="560">
        <v>64.402000000000001</v>
      </c>
      <c r="DR11" s="560">
        <v>64.912000000000006</v>
      </c>
      <c r="DS11" s="560">
        <v>65.650999999999996</v>
      </c>
      <c r="DT11" s="560">
        <v>66.081000000000003</v>
      </c>
      <c r="DU11" s="560">
        <v>66.47</v>
      </c>
      <c r="DV11" s="560">
        <v>66.88</v>
      </c>
      <c r="DW11" s="560">
        <v>67.052000000000007</v>
      </c>
      <c r="DX11" s="560">
        <v>67.262</v>
      </c>
      <c r="DY11" s="560">
        <v>67.623000000000005</v>
      </c>
      <c r="DZ11" s="560">
        <v>67.921000000000006</v>
      </c>
      <c r="EA11" s="560">
        <v>68.290000000000006</v>
      </c>
      <c r="EB11" s="560">
        <v>68.5</v>
      </c>
      <c r="EC11" s="560">
        <v>68.617999999999995</v>
      </c>
      <c r="ED11" s="560">
        <v>69.186999999999998</v>
      </c>
      <c r="EE11" s="560">
        <v>69.259</v>
      </c>
      <c r="EF11" s="560">
        <v>69.346999999999994</v>
      </c>
      <c r="EG11" s="560">
        <v>69.539000000000001</v>
      </c>
      <c r="EH11" s="560">
        <v>69.992000000000004</v>
      </c>
      <c r="EI11" s="560">
        <v>71.278000000000006</v>
      </c>
      <c r="EJ11" s="560">
        <v>73.197000000000003</v>
      </c>
      <c r="EK11" s="560">
        <v>74.954999999999998</v>
      </c>
      <c r="EL11" s="560">
        <v>75.587999999999994</v>
      </c>
      <c r="EM11" s="560">
        <v>77.010000000000005</v>
      </c>
      <c r="EN11" s="560">
        <v>78.724999999999994</v>
      </c>
      <c r="EO11" s="560">
        <v>79.822999999999993</v>
      </c>
      <c r="EP11" s="560">
        <v>80.319000000000003</v>
      </c>
      <c r="EQ11" s="560">
        <v>82.088999999999999</v>
      </c>
      <c r="ER11" s="560">
        <v>83.231999999999999</v>
      </c>
      <c r="ES11" s="560">
        <v>85.185000000000002</v>
      </c>
      <c r="ET11" s="560">
        <v>87.334000000000003</v>
      </c>
      <c r="EU11" s="560">
        <v>88.247</v>
      </c>
      <c r="EV11" s="560">
        <v>89.096999999999994</v>
      </c>
      <c r="EW11" s="560">
        <v>90.144999999999996</v>
      </c>
      <c r="EX11" s="560">
        <v>90.998999999999995</v>
      </c>
      <c r="EY11" s="560">
        <v>91.698999999999998</v>
      </c>
      <c r="EZ11" s="560">
        <v>92.884</v>
      </c>
      <c r="FA11" s="560">
        <v>94.585999999999999</v>
      </c>
      <c r="FB11" s="560">
        <v>95.176000000000002</v>
      </c>
      <c r="FC11" s="560">
        <v>94.34</v>
      </c>
      <c r="FD11" s="560">
        <v>93.49</v>
      </c>
      <c r="FE11" s="560">
        <v>93.418000000000006</v>
      </c>
      <c r="FF11" s="560">
        <v>93.683000000000007</v>
      </c>
      <c r="FG11" s="560">
        <v>94.09</v>
      </c>
      <c r="FH11" s="560">
        <v>94.385999999999996</v>
      </c>
      <c r="FI11" s="560">
        <v>94.81</v>
      </c>
      <c r="FJ11" s="560">
        <v>95.382999999999996</v>
      </c>
      <c r="FK11" s="560">
        <v>96.346999999999994</v>
      </c>
      <c r="FL11" s="560">
        <v>97.436000000000007</v>
      </c>
      <c r="FM11" s="560">
        <v>98.352000000000004</v>
      </c>
      <c r="FN11" s="560">
        <v>99.088999999999999</v>
      </c>
      <c r="FO11" s="560">
        <v>99.879000000000005</v>
      </c>
      <c r="FP11" s="560">
        <v>100.417</v>
      </c>
      <c r="FQ11" s="560">
        <v>100.61499999999999</v>
      </c>
      <c r="FR11" s="560">
        <v>101.023</v>
      </c>
      <c r="FS11" s="560">
        <v>101.538</v>
      </c>
      <c r="FT11" s="560">
        <v>102.08499999999999</v>
      </c>
      <c r="FU11" s="560">
        <v>102.85599999999999</v>
      </c>
      <c r="FV11" s="560">
        <v>103.435</v>
      </c>
      <c r="FW11" s="560">
        <v>103.907</v>
      </c>
      <c r="FX11" s="560">
        <v>104.40900000000001</v>
      </c>
      <c r="FY11" s="560">
        <v>104.593</v>
      </c>
      <c r="FZ11" s="560">
        <v>104.562</v>
      </c>
      <c r="GA11" s="560">
        <v>105.021</v>
      </c>
      <c r="GB11" s="560">
        <v>105.319</v>
      </c>
      <c r="GC11" s="560">
        <v>105.261</v>
      </c>
      <c r="GD11" s="560">
        <v>105.006</v>
      </c>
      <c r="GE11" s="560">
        <v>105.86199999999999</v>
      </c>
      <c r="GF11" s="560">
        <v>105.94199999999999</v>
      </c>
      <c r="GG11" s="560">
        <v>106.45399999999999</v>
      </c>
      <c r="GH11" s="560">
        <v>107.188</v>
      </c>
      <c r="GI11" s="560">
        <v>107.712</v>
      </c>
      <c r="GJ11" s="560">
        <v>108.676</v>
      </c>
      <c r="GK11" s="560">
        <v>109.285</v>
      </c>
      <c r="GL11" s="560">
        <v>110.291</v>
      </c>
      <c r="GM11" s="560">
        <v>111.736</v>
      </c>
      <c r="GN11" s="560">
        <v>112.542</v>
      </c>
      <c r="GO11" s="560">
        <v>113.715</v>
      </c>
      <c r="GP11" s="560">
        <v>114.175</v>
      </c>
      <c r="GQ11" s="560">
        <v>115.41800000000001</v>
      </c>
      <c r="GR11" s="560">
        <v>115.982</v>
      </c>
      <c r="GS11" s="560">
        <v>116.167</v>
      </c>
      <c r="GT11" s="560">
        <v>116.5</v>
      </c>
      <c r="GU11" s="560">
        <v>116.19499999999999</v>
      </c>
      <c r="GV11" s="560">
        <v>117.285</v>
      </c>
      <c r="GW11" s="560">
        <v>117.706</v>
      </c>
      <c r="GX11" s="560">
        <v>119.416</v>
      </c>
      <c r="GY11" s="560">
        <v>122.035</v>
      </c>
    </row>
    <row r="12" spans="1:207">
      <c r="A12" s="560" t="s">
        <v>210</v>
      </c>
      <c r="B12" s="560">
        <v>7</v>
      </c>
      <c r="C12" s="560">
        <v>7.2</v>
      </c>
      <c r="D12" s="560">
        <v>7.3</v>
      </c>
      <c r="E12" s="560">
        <v>7.5</v>
      </c>
      <c r="F12" s="560">
        <v>7.8</v>
      </c>
      <c r="G12" s="560">
        <v>8</v>
      </c>
      <c r="H12" s="560">
        <v>8.1</v>
      </c>
      <c r="I12" s="560">
        <v>8.3000000000000007</v>
      </c>
      <c r="J12" s="560">
        <v>8.5</v>
      </c>
      <c r="K12" s="560">
        <v>8.6999999999999993</v>
      </c>
      <c r="L12" s="560">
        <v>8.9</v>
      </c>
      <c r="M12" s="560">
        <v>9.1999999999999993</v>
      </c>
      <c r="N12" s="560">
        <v>9.5</v>
      </c>
      <c r="O12" s="560">
        <v>10</v>
      </c>
      <c r="P12" s="560">
        <v>10.5</v>
      </c>
      <c r="Q12" s="560">
        <v>11</v>
      </c>
      <c r="R12" s="560">
        <v>11.7</v>
      </c>
      <c r="S12" s="560">
        <v>12.4</v>
      </c>
      <c r="T12" s="560">
        <v>13.1</v>
      </c>
      <c r="U12" s="560">
        <v>13.8</v>
      </c>
      <c r="V12" s="560">
        <v>14.5</v>
      </c>
      <c r="W12" s="560">
        <v>15.2</v>
      </c>
      <c r="X12" s="560">
        <v>16</v>
      </c>
      <c r="Y12" s="560">
        <v>16.8</v>
      </c>
      <c r="Z12" s="560">
        <v>17.600000000000001</v>
      </c>
      <c r="AA12" s="560">
        <v>18.399999999999999</v>
      </c>
      <c r="AB12" s="560">
        <v>19.2</v>
      </c>
      <c r="AC12" s="560">
        <v>20</v>
      </c>
      <c r="AD12" s="560">
        <v>20.9</v>
      </c>
      <c r="AE12" s="560">
        <v>21.7</v>
      </c>
      <c r="AF12" s="560">
        <v>22.5</v>
      </c>
      <c r="AG12" s="560">
        <v>23.3</v>
      </c>
      <c r="AH12" s="560">
        <v>24.2</v>
      </c>
      <c r="AI12" s="560">
        <v>25</v>
      </c>
      <c r="AJ12" s="560">
        <v>26</v>
      </c>
      <c r="AK12" s="560">
        <v>27</v>
      </c>
      <c r="AL12" s="560">
        <v>28</v>
      </c>
      <c r="AM12" s="560">
        <v>29.2</v>
      </c>
      <c r="AN12" s="560">
        <v>30.5</v>
      </c>
      <c r="AO12" s="560">
        <v>32</v>
      </c>
      <c r="AP12" s="560">
        <v>33.6</v>
      </c>
      <c r="AQ12" s="560">
        <v>35.299999999999997</v>
      </c>
      <c r="AR12" s="560">
        <v>37</v>
      </c>
      <c r="AS12" s="560">
        <v>38.799999999999997</v>
      </c>
      <c r="AT12" s="560">
        <v>40.700000000000003</v>
      </c>
      <c r="AU12" s="560">
        <v>42.6</v>
      </c>
      <c r="AV12" s="560">
        <v>44.4</v>
      </c>
      <c r="AW12" s="560">
        <v>46.3</v>
      </c>
      <c r="AX12" s="560">
        <v>48.2</v>
      </c>
      <c r="AY12" s="560">
        <v>50.1</v>
      </c>
      <c r="AZ12" s="560">
        <v>51.8</v>
      </c>
      <c r="BA12" s="560">
        <v>53.6</v>
      </c>
      <c r="BB12" s="560">
        <v>55.2</v>
      </c>
      <c r="BC12" s="560">
        <v>56.9</v>
      </c>
      <c r="BD12" s="560">
        <v>58.7</v>
      </c>
      <c r="BE12" s="560">
        <v>60.4</v>
      </c>
      <c r="BF12" s="560">
        <v>62.5</v>
      </c>
      <c r="BG12" s="560">
        <v>64.099999999999994</v>
      </c>
      <c r="BH12" s="560">
        <v>65.599999999999994</v>
      </c>
      <c r="BI12" s="560">
        <v>66.900000000000006</v>
      </c>
      <c r="BJ12" s="560">
        <v>67.900000000000006</v>
      </c>
      <c r="BK12" s="560">
        <v>69.099999999999994</v>
      </c>
      <c r="BL12" s="560">
        <v>70.3</v>
      </c>
      <c r="BM12" s="560">
        <v>71.599999999999994</v>
      </c>
      <c r="BN12" s="560">
        <v>73</v>
      </c>
      <c r="BO12" s="560">
        <v>74.5</v>
      </c>
      <c r="BP12" s="560">
        <v>76</v>
      </c>
      <c r="BQ12" s="560">
        <v>77.599999999999994</v>
      </c>
      <c r="BR12" s="560">
        <v>79.599999999999994</v>
      </c>
      <c r="BS12" s="560">
        <v>81.099999999999994</v>
      </c>
      <c r="BT12" s="560">
        <v>82.3</v>
      </c>
      <c r="BU12" s="560">
        <v>83.3</v>
      </c>
      <c r="BV12" s="560">
        <v>83.4</v>
      </c>
      <c r="BW12" s="560">
        <v>85</v>
      </c>
      <c r="BX12" s="560">
        <v>87</v>
      </c>
      <c r="BY12" s="560">
        <v>89.7</v>
      </c>
      <c r="BZ12" s="560">
        <v>93.8</v>
      </c>
      <c r="CA12" s="560">
        <v>96.9</v>
      </c>
      <c r="CB12" s="560">
        <v>99.7</v>
      </c>
      <c r="CC12" s="560">
        <v>102.3</v>
      </c>
      <c r="CD12" s="560">
        <v>104.3</v>
      </c>
      <c r="CE12" s="560">
        <v>106.5</v>
      </c>
      <c r="CF12" s="560">
        <v>108.7</v>
      </c>
      <c r="CG12" s="560">
        <v>111</v>
      </c>
      <c r="CH12" s="560">
        <v>112.9</v>
      </c>
      <c r="CI12" s="560">
        <v>115.7</v>
      </c>
      <c r="CJ12" s="560">
        <v>118.9</v>
      </c>
      <c r="CK12" s="560">
        <v>122.5</v>
      </c>
      <c r="CL12" s="560">
        <v>127.2</v>
      </c>
      <c r="CM12" s="560">
        <v>131</v>
      </c>
      <c r="CN12" s="560">
        <v>134.5</v>
      </c>
      <c r="CO12" s="560">
        <v>137.69999999999999</v>
      </c>
      <c r="CP12" s="560">
        <v>143.4</v>
      </c>
      <c r="CQ12" s="560">
        <v>144.69999999999999</v>
      </c>
      <c r="CR12" s="560">
        <v>147.5</v>
      </c>
      <c r="CS12" s="560">
        <v>151.6</v>
      </c>
      <c r="CT12" s="560">
        <v>156.9</v>
      </c>
      <c r="CU12" s="560">
        <v>162.19999999999999</v>
      </c>
      <c r="CV12" s="560">
        <v>167.1</v>
      </c>
      <c r="CW12" s="560">
        <v>171.6</v>
      </c>
      <c r="CX12" s="560">
        <v>175.7</v>
      </c>
      <c r="CY12" s="560">
        <v>179.6</v>
      </c>
      <c r="CZ12" s="560">
        <v>183.2</v>
      </c>
      <c r="DA12" s="560">
        <v>186.5</v>
      </c>
      <c r="DB12" s="560">
        <v>189.6</v>
      </c>
      <c r="DC12" s="560">
        <v>192.9</v>
      </c>
      <c r="DD12" s="560">
        <v>196.5</v>
      </c>
      <c r="DE12" s="560">
        <v>200.4</v>
      </c>
      <c r="DF12" s="560">
        <v>204.4</v>
      </c>
      <c r="DG12" s="560">
        <v>207.1</v>
      </c>
      <c r="DH12" s="560">
        <v>208.3</v>
      </c>
      <c r="DI12" s="560">
        <v>207.9</v>
      </c>
      <c r="DJ12" s="560">
        <v>206.4</v>
      </c>
      <c r="DK12" s="560">
        <v>205.3</v>
      </c>
      <c r="DL12" s="560">
        <v>205</v>
      </c>
      <c r="DM12" s="560">
        <v>205.5</v>
      </c>
      <c r="DN12" s="560">
        <v>206.6</v>
      </c>
      <c r="DO12" s="560">
        <v>207.9</v>
      </c>
      <c r="DP12" s="560">
        <v>209.4</v>
      </c>
      <c r="DQ12" s="560">
        <v>211</v>
      </c>
      <c r="DR12" s="560">
        <v>213</v>
      </c>
      <c r="DS12" s="560">
        <v>216.1</v>
      </c>
      <c r="DT12" s="560">
        <v>220.7</v>
      </c>
      <c r="DU12" s="560">
        <v>226.7</v>
      </c>
      <c r="DV12" s="560">
        <v>233.8</v>
      </c>
      <c r="DW12" s="560">
        <v>240.4</v>
      </c>
      <c r="DX12" s="560">
        <v>245.8</v>
      </c>
      <c r="DY12" s="560">
        <v>250.3</v>
      </c>
      <c r="DZ12" s="560">
        <v>254.1</v>
      </c>
      <c r="EA12" s="560">
        <v>257.89999999999998</v>
      </c>
      <c r="EB12" s="560">
        <v>261.60000000000002</v>
      </c>
      <c r="EC12" s="560">
        <v>265.2</v>
      </c>
      <c r="ED12" s="560">
        <v>268.89999999999998</v>
      </c>
      <c r="EE12" s="560">
        <v>273.39999999999998</v>
      </c>
      <c r="EF12" s="560">
        <v>279</v>
      </c>
      <c r="EG12" s="560">
        <v>285.5</v>
      </c>
      <c r="EH12" s="560">
        <v>293</v>
      </c>
      <c r="EI12" s="560">
        <v>300.39999999999998</v>
      </c>
      <c r="EJ12" s="560">
        <v>308.60000000000002</v>
      </c>
      <c r="EK12" s="560">
        <v>315.39999999999998</v>
      </c>
      <c r="EL12" s="560">
        <v>323.2</v>
      </c>
      <c r="EM12" s="560">
        <v>329.2</v>
      </c>
      <c r="EN12" s="560">
        <v>335.1</v>
      </c>
      <c r="EO12" s="560">
        <v>341</v>
      </c>
      <c r="EP12" s="560">
        <v>389.6</v>
      </c>
      <c r="EQ12" s="560">
        <v>395.6</v>
      </c>
      <c r="ER12" s="560">
        <v>402.1</v>
      </c>
      <c r="ES12" s="560">
        <v>409.1</v>
      </c>
      <c r="ET12" s="560">
        <v>416.4</v>
      </c>
      <c r="EU12" s="560">
        <v>424.1</v>
      </c>
      <c r="EV12" s="560">
        <v>432</v>
      </c>
      <c r="EW12" s="560">
        <v>440.3</v>
      </c>
      <c r="EX12" s="560">
        <v>448.8</v>
      </c>
      <c r="EY12" s="560">
        <v>457.3</v>
      </c>
      <c r="EZ12" s="560">
        <v>465.9</v>
      </c>
      <c r="FA12" s="560">
        <v>474.5</v>
      </c>
      <c r="FB12" s="560">
        <v>482.9</v>
      </c>
      <c r="FC12" s="560">
        <v>490.4</v>
      </c>
      <c r="FD12" s="560">
        <v>496.7</v>
      </c>
      <c r="FE12" s="560">
        <v>501.8</v>
      </c>
      <c r="FF12" s="560">
        <v>506</v>
      </c>
      <c r="FG12" s="560">
        <v>510.5</v>
      </c>
      <c r="FH12" s="560">
        <v>515.70000000000005</v>
      </c>
      <c r="FI12" s="560">
        <v>521.4</v>
      </c>
      <c r="FJ12" s="560">
        <v>527.6</v>
      </c>
      <c r="FK12" s="560">
        <v>533.4</v>
      </c>
      <c r="FL12" s="560">
        <v>538.5</v>
      </c>
      <c r="FM12" s="560">
        <v>542.9</v>
      </c>
      <c r="FN12" s="560">
        <v>547</v>
      </c>
      <c r="FO12" s="560">
        <v>551.6</v>
      </c>
      <c r="FP12" s="560">
        <v>557.1</v>
      </c>
      <c r="FQ12" s="560">
        <v>563.4</v>
      </c>
      <c r="FR12" s="560">
        <v>570.29999999999995</v>
      </c>
      <c r="FS12" s="560">
        <v>567.1</v>
      </c>
      <c r="FT12" s="560">
        <v>573.70000000000005</v>
      </c>
      <c r="FU12" s="560">
        <v>580.20000000000005</v>
      </c>
      <c r="FV12" s="560">
        <v>587.5</v>
      </c>
      <c r="FW12" s="560">
        <v>595.6</v>
      </c>
      <c r="FX12" s="560">
        <v>604</v>
      </c>
      <c r="FY12" s="560">
        <v>612.79999999999995</v>
      </c>
      <c r="FZ12" s="560">
        <v>622.4</v>
      </c>
      <c r="GA12" s="560">
        <v>631.5</v>
      </c>
      <c r="GB12" s="560">
        <v>639.5</v>
      </c>
      <c r="GC12" s="560">
        <v>646.4</v>
      </c>
      <c r="GD12" s="560">
        <v>652.4</v>
      </c>
      <c r="GE12" s="560">
        <v>658.6</v>
      </c>
      <c r="GF12" s="560">
        <v>665.2</v>
      </c>
      <c r="GG12" s="560">
        <v>672.2</v>
      </c>
      <c r="GH12" s="560">
        <v>679.6</v>
      </c>
      <c r="GI12" s="560">
        <v>687.7</v>
      </c>
      <c r="GJ12" s="560">
        <v>696.6</v>
      </c>
      <c r="GK12" s="560">
        <v>706.3</v>
      </c>
      <c r="GL12" s="560">
        <v>716.7</v>
      </c>
      <c r="GM12" s="560">
        <v>728.2</v>
      </c>
      <c r="GN12" s="560">
        <v>740.6</v>
      </c>
      <c r="GO12" s="560">
        <v>754.2</v>
      </c>
      <c r="GP12" s="560">
        <v>768.3</v>
      </c>
      <c r="GQ12" s="560">
        <v>781.1</v>
      </c>
      <c r="GR12" s="560">
        <v>792.1</v>
      </c>
      <c r="GS12" s="560">
        <v>801.3</v>
      </c>
      <c r="GT12" s="560">
        <v>808.5</v>
      </c>
      <c r="GU12" s="560">
        <v>821.6</v>
      </c>
      <c r="GV12" s="560">
        <v>825.8</v>
      </c>
      <c r="GW12" s="560">
        <v>821</v>
      </c>
      <c r="GX12" s="560">
        <v>814.1</v>
      </c>
      <c r="GY12" s="560">
        <v>815.3</v>
      </c>
    </row>
    <row r="13" spans="1:207">
      <c r="A13" s="560" t="s">
        <v>211</v>
      </c>
      <c r="B13" s="560">
        <v>5</v>
      </c>
      <c r="C13" s="560">
        <v>5.3</v>
      </c>
      <c r="D13" s="560">
        <v>5.6</v>
      </c>
      <c r="E13" s="560">
        <v>5.9</v>
      </c>
      <c r="F13" s="560">
        <v>6.2</v>
      </c>
      <c r="G13" s="560">
        <v>6.6</v>
      </c>
      <c r="H13" s="560">
        <v>6.9</v>
      </c>
      <c r="I13" s="560">
        <v>7.3</v>
      </c>
      <c r="J13" s="560">
        <v>7.8</v>
      </c>
      <c r="K13" s="560">
        <v>8</v>
      </c>
      <c r="L13" s="560">
        <v>8.6</v>
      </c>
      <c r="M13" s="560">
        <v>8.5</v>
      </c>
      <c r="N13" s="560">
        <v>9</v>
      </c>
      <c r="O13" s="560">
        <v>9.6</v>
      </c>
      <c r="P13" s="560">
        <v>9.6999999999999993</v>
      </c>
      <c r="Q13" s="560">
        <v>10.1</v>
      </c>
      <c r="R13" s="560">
        <v>10.199999999999999</v>
      </c>
      <c r="S13" s="560">
        <v>11.1</v>
      </c>
      <c r="T13" s="560">
        <v>11.4</v>
      </c>
      <c r="U13" s="560">
        <v>12</v>
      </c>
      <c r="V13" s="560">
        <v>13.3</v>
      </c>
      <c r="W13" s="560">
        <v>13.8</v>
      </c>
      <c r="X13" s="560">
        <v>13.8</v>
      </c>
      <c r="Y13" s="560">
        <v>14.6</v>
      </c>
      <c r="Z13" s="560">
        <v>15.2</v>
      </c>
      <c r="AA13" s="560">
        <v>14.9</v>
      </c>
      <c r="AB13" s="560">
        <v>15.9</v>
      </c>
      <c r="AC13" s="560">
        <v>15.9</v>
      </c>
      <c r="AD13" s="560">
        <v>16.2</v>
      </c>
      <c r="AE13" s="560">
        <v>17.5</v>
      </c>
      <c r="AF13" s="560">
        <v>16.7</v>
      </c>
      <c r="AG13" s="560">
        <v>16.5</v>
      </c>
      <c r="AH13" s="560">
        <v>17.5</v>
      </c>
      <c r="AI13" s="560">
        <v>18.600000000000001</v>
      </c>
      <c r="AJ13" s="560">
        <v>18.899999999999999</v>
      </c>
      <c r="AK13" s="560">
        <v>19.5</v>
      </c>
      <c r="AL13" s="560">
        <v>20</v>
      </c>
      <c r="AM13" s="560">
        <v>20.8</v>
      </c>
      <c r="AN13" s="560">
        <v>21.1</v>
      </c>
      <c r="AO13" s="560">
        <v>22.4</v>
      </c>
      <c r="AP13" s="560">
        <v>23.4</v>
      </c>
      <c r="AQ13" s="560">
        <v>22.2</v>
      </c>
      <c r="AR13" s="560">
        <v>24.2</v>
      </c>
      <c r="AS13" s="560">
        <v>25.6</v>
      </c>
      <c r="AT13" s="560">
        <v>26.5</v>
      </c>
      <c r="AU13" s="560">
        <v>28.1</v>
      </c>
      <c r="AV13" s="560">
        <v>28.3</v>
      </c>
      <c r="AW13" s="560">
        <v>28</v>
      </c>
      <c r="AX13" s="560">
        <v>28.8</v>
      </c>
      <c r="AY13" s="560">
        <v>30.2</v>
      </c>
      <c r="AZ13" s="560">
        <v>30.8</v>
      </c>
      <c r="BA13" s="560">
        <v>30.8</v>
      </c>
      <c r="BB13" s="560">
        <v>33.200000000000003</v>
      </c>
      <c r="BC13" s="560">
        <v>33.4</v>
      </c>
      <c r="BD13" s="560">
        <v>34</v>
      </c>
      <c r="BE13" s="560">
        <v>34.9</v>
      </c>
      <c r="BF13" s="560">
        <v>35.700000000000003</v>
      </c>
      <c r="BG13" s="560">
        <v>36.200000000000003</v>
      </c>
      <c r="BH13" s="560">
        <v>36.799999999999997</v>
      </c>
      <c r="BI13" s="560">
        <v>37.6</v>
      </c>
      <c r="BJ13" s="560">
        <v>38.4</v>
      </c>
      <c r="BK13" s="560">
        <v>39.200000000000003</v>
      </c>
      <c r="BL13" s="560">
        <v>40.1</v>
      </c>
      <c r="BM13" s="560">
        <v>41.1</v>
      </c>
      <c r="BN13" s="560">
        <v>42.1</v>
      </c>
      <c r="BO13" s="560">
        <v>43.1</v>
      </c>
      <c r="BP13" s="560">
        <v>44.1</v>
      </c>
      <c r="BQ13" s="560">
        <v>45.2</v>
      </c>
      <c r="BR13" s="560">
        <v>46.2</v>
      </c>
      <c r="BS13" s="560">
        <v>47.3</v>
      </c>
      <c r="BT13" s="560">
        <v>48.4</v>
      </c>
      <c r="BU13" s="560">
        <v>49.4</v>
      </c>
      <c r="BV13" s="560">
        <v>50.9</v>
      </c>
      <c r="BW13" s="560">
        <v>52.2</v>
      </c>
      <c r="BX13" s="560">
        <v>53.7</v>
      </c>
      <c r="BY13" s="560">
        <v>55.4</v>
      </c>
      <c r="BZ13" s="560">
        <v>57.4</v>
      </c>
      <c r="CA13" s="560">
        <v>59.6</v>
      </c>
      <c r="CB13" s="560">
        <v>61.9</v>
      </c>
      <c r="CC13" s="560">
        <v>64.400000000000006</v>
      </c>
      <c r="CD13" s="560">
        <v>66.599999999999994</v>
      </c>
      <c r="CE13" s="560">
        <v>70.3</v>
      </c>
      <c r="CF13" s="560">
        <v>74.900000000000006</v>
      </c>
      <c r="CG13" s="560">
        <v>80.7</v>
      </c>
      <c r="CH13" s="560">
        <v>83.7</v>
      </c>
      <c r="CI13" s="560">
        <v>93.1</v>
      </c>
      <c r="CJ13" s="560">
        <v>98.4</v>
      </c>
      <c r="CK13" s="560">
        <v>112.5</v>
      </c>
      <c r="CL13" s="560">
        <v>108.3</v>
      </c>
      <c r="CM13" s="560">
        <v>115.4</v>
      </c>
      <c r="CN13" s="560">
        <v>120.6</v>
      </c>
      <c r="CO13" s="560">
        <v>120.8</v>
      </c>
      <c r="CP13" s="560">
        <v>124.4</v>
      </c>
      <c r="CQ13" s="560">
        <v>124.8</v>
      </c>
      <c r="CR13" s="560">
        <v>135.19999999999999</v>
      </c>
      <c r="CS13" s="560">
        <v>136</v>
      </c>
      <c r="CT13" s="560">
        <v>136.6</v>
      </c>
      <c r="CU13" s="560">
        <v>137.1</v>
      </c>
      <c r="CV13" s="560">
        <v>136.19999999999999</v>
      </c>
      <c r="CW13" s="560">
        <v>147.80000000000001</v>
      </c>
      <c r="CX13" s="560">
        <v>152.5</v>
      </c>
      <c r="CY13" s="560">
        <v>152.5</v>
      </c>
      <c r="CZ13" s="560">
        <v>152.69999999999999</v>
      </c>
      <c r="DA13" s="560">
        <v>140.69999999999999</v>
      </c>
      <c r="DB13" s="560">
        <v>151.30000000000001</v>
      </c>
      <c r="DC13" s="560">
        <v>165.8</v>
      </c>
      <c r="DD13" s="560">
        <v>158.80000000000001</v>
      </c>
      <c r="DE13" s="560">
        <v>156.9</v>
      </c>
      <c r="DF13" s="560">
        <v>161.4</v>
      </c>
      <c r="DG13" s="560">
        <v>159.4</v>
      </c>
      <c r="DH13" s="560">
        <v>163.69999999999999</v>
      </c>
      <c r="DI13" s="560">
        <v>168</v>
      </c>
      <c r="DJ13" s="560">
        <v>167.2</v>
      </c>
      <c r="DK13" s="560">
        <v>170</v>
      </c>
      <c r="DL13" s="560">
        <v>168.1</v>
      </c>
      <c r="DM13" s="560">
        <v>175.4</v>
      </c>
      <c r="DN13" s="560">
        <v>181.1</v>
      </c>
      <c r="DO13" s="560">
        <v>179.1</v>
      </c>
      <c r="DP13" s="560">
        <v>186.7</v>
      </c>
      <c r="DQ13" s="560">
        <v>191.3</v>
      </c>
      <c r="DR13" s="560">
        <v>190.2</v>
      </c>
      <c r="DS13" s="560">
        <v>198.3</v>
      </c>
      <c r="DT13" s="560">
        <v>204.8</v>
      </c>
      <c r="DU13" s="560">
        <v>204.8</v>
      </c>
      <c r="DV13" s="560">
        <v>215</v>
      </c>
      <c r="DW13" s="560">
        <v>230.1</v>
      </c>
      <c r="DX13" s="560">
        <v>217.4</v>
      </c>
      <c r="DY13" s="560">
        <v>246.5</v>
      </c>
      <c r="DZ13" s="560">
        <v>244.9</v>
      </c>
      <c r="EA13" s="560">
        <v>243.8</v>
      </c>
      <c r="EB13" s="560">
        <v>251.1</v>
      </c>
      <c r="EC13" s="560">
        <v>260.3</v>
      </c>
      <c r="ED13" s="560">
        <v>260.7</v>
      </c>
      <c r="EE13" s="560">
        <v>260.10000000000002</v>
      </c>
      <c r="EF13" s="560">
        <v>271.7</v>
      </c>
      <c r="EG13" s="560">
        <v>265.7</v>
      </c>
      <c r="EH13" s="560">
        <v>283.39999999999998</v>
      </c>
      <c r="EI13" s="560">
        <v>293</v>
      </c>
      <c r="EJ13" s="560">
        <v>288.3</v>
      </c>
      <c r="EK13" s="560">
        <v>294.5</v>
      </c>
      <c r="EL13" s="560">
        <v>301.3</v>
      </c>
      <c r="EM13" s="560">
        <v>310.8</v>
      </c>
      <c r="EN13" s="560">
        <v>300.10000000000002</v>
      </c>
      <c r="EO13" s="560">
        <v>305.39999999999998</v>
      </c>
      <c r="EP13" s="560">
        <v>291.3</v>
      </c>
      <c r="EQ13" s="560">
        <v>294.89999999999998</v>
      </c>
      <c r="ER13" s="560">
        <v>308.7</v>
      </c>
      <c r="ES13" s="560">
        <v>301.39999999999998</v>
      </c>
      <c r="ET13" s="560">
        <v>332.5</v>
      </c>
      <c r="EU13" s="560">
        <v>314.7</v>
      </c>
      <c r="EV13" s="560">
        <v>319.60000000000002</v>
      </c>
      <c r="EW13" s="560">
        <v>329.9</v>
      </c>
      <c r="EX13" s="560">
        <v>331.6</v>
      </c>
      <c r="EY13" s="560">
        <v>339.2</v>
      </c>
      <c r="EZ13" s="560">
        <v>340.8</v>
      </c>
      <c r="FA13" s="560">
        <v>341.8</v>
      </c>
      <c r="FB13" s="560">
        <v>358.4</v>
      </c>
      <c r="FC13" s="560">
        <v>368.9</v>
      </c>
      <c r="FD13" s="560">
        <v>378.2</v>
      </c>
      <c r="FE13" s="560">
        <v>372.8</v>
      </c>
      <c r="FF13" s="560">
        <v>382.1</v>
      </c>
      <c r="FG13" s="560">
        <v>385.7</v>
      </c>
      <c r="FH13" s="560">
        <v>405.6</v>
      </c>
      <c r="FI13" s="560">
        <v>414.1</v>
      </c>
      <c r="FJ13" s="560">
        <v>418.8</v>
      </c>
      <c r="FK13" s="560">
        <v>409.7</v>
      </c>
      <c r="FL13" s="560">
        <v>396.4</v>
      </c>
      <c r="FM13" s="560">
        <v>399.3</v>
      </c>
      <c r="FN13" s="560">
        <v>400.6</v>
      </c>
      <c r="FO13" s="560">
        <v>421.7</v>
      </c>
      <c r="FP13" s="560">
        <v>419</v>
      </c>
      <c r="FQ13" s="560">
        <v>428.9</v>
      </c>
      <c r="FR13" s="560">
        <v>424.8</v>
      </c>
      <c r="FS13" s="560">
        <v>438.4</v>
      </c>
      <c r="FT13" s="560">
        <v>448.2</v>
      </c>
      <c r="FU13" s="560">
        <v>448.6</v>
      </c>
      <c r="FV13" s="560">
        <v>459.5</v>
      </c>
      <c r="FW13" s="560">
        <v>481.5</v>
      </c>
      <c r="FX13" s="560">
        <v>507.2</v>
      </c>
      <c r="FY13" s="560">
        <v>515.29999999999995</v>
      </c>
      <c r="FZ13" s="560">
        <v>523.6</v>
      </c>
      <c r="GA13" s="560">
        <v>537.9</v>
      </c>
      <c r="GB13" s="560">
        <v>540.4</v>
      </c>
      <c r="GC13" s="560">
        <v>541.79999999999995</v>
      </c>
      <c r="GD13" s="560">
        <v>550.5</v>
      </c>
      <c r="GE13" s="560">
        <v>558.79999999999995</v>
      </c>
      <c r="GF13" s="560">
        <v>566.5</v>
      </c>
      <c r="GG13" s="560">
        <v>575.29999999999995</v>
      </c>
      <c r="GH13" s="560">
        <v>572.4</v>
      </c>
      <c r="GI13" s="560">
        <v>567.9</v>
      </c>
      <c r="GJ13" s="560">
        <v>578.9</v>
      </c>
      <c r="GK13" s="560">
        <v>575.79999999999995</v>
      </c>
      <c r="GL13" s="560">
        <v>581.9</v>
      </c>
      <c r="GM13" s="560">
        <v>592.6</v>
      </c>
      <c r="GN13" s="560">
        <v>595.1</v>
      </c>
      <c r="GO13" s="560">
        <v>589.5</v>
      </c>
      <c r="GP13" s="560">
        <v>598.79999999999995</v>
      </c>
      <c r="GQ13" s="560">
        <v>614.5</v>
      </c>
      <c r="GR13" s="560">
        <v>622.4</v>
      </c>
      <c r="GS13" s="560">
        <v>620.5</v>
      </c>
      <c r="GT13" s="560">
        <v>606.20000000000005</v>
      </c>
      <c r="GU13" s="560">
        <v>654.20000000000005</v>
      </c>
      <c r="GV13" s="560">
        <v>690.4</v>
      </c>
      <c r="GW13" s="560">
        <v>678.3</v>
      </c>
      <c r="GX13" s="560">
        <v>695.9</v>
      </c>
      <c r="GY13" s="560">
        <v>735.5</v>
      </c>
    </row>
    <row r="14" spans="1:207">
      <c r="A14" s="560" t="s">
        <v>193</v>
      </c>
      <c r="B14" s="560">
        <v>2.9</v>
      </c>
      <c r="C14" s="560">
        <v>3.9</v>
      </c>
      <c r="D14" s="560">
        <v>4.5999999999999996</v>
      </c>
      <c r="E14" s="560">
        <v>5.4</v>
      </c>
      <c r="F14" s="560">
        <v>5.7</v>
      </c>
      <c r="G14" s="560">
        <v>6.3</v>
      </c>
      <c r="H14" s="560">
        <v>6.3</v>
      </c>
      <c r="I14" s="560">
        <v>6.3</v>
      </c>
      <c r="J14" s="560">
        <v>6.5</v>
      </c>
      <c r="K14" s="560">
        <v>6.9</v>
      </c>
      <c r="L14" s="560">
        <v>5.8</v>
      </c>
      <c r="M14" s="560">
        <v>5</v>
      </c>
      <c r="N14" s="560">
        <v>4.5999999999999996</v>
      </c>
      <c r="O14" s="560">
        <v>4.5</v>
      </c>
      <c r="P14" s="560">
        <v>4.5</v>
      </c>
      <c r="Q14" s="560">
        <v>4.7</v>
      </c>
      <c r="R14" s="560">
        <v>5.8</v>
      </c>
      <c r="S14" s="560">
        <v>6.7</v>
      </c>
      <c r="T14" s="560">
        <v>6.9</v>
      </c>
      <c r="U14" s="560">
        <v>8.6</v>
      </c>
      <c r="V14" s="560">
        <v>14.2</v>
      </c>
      <c r="W14" s="560">
        <v>19.399999999999999</v>
      </c>
      <c r="X14" s="560">
        <v>20.2</v>
      </c>
      <c r="Y14" s="560">
        <v>18.8</v>
      </c>
      <c r="Z14" s="560">
        <v>17.7</v>
      </c>
      <c r="AA14" s="560">
        <v>16.3</v>
      </c>
      <c r="AB14" s="560">
        <v>16.100000000000001</v>
      </c>
      <c r="AC14" s="560">
        <v>15.5</v>
      </c>
      <c r="AD14" s="560">
        <v>15.5</v>
      </c>
      <c r="AE14" s="560">
        <v>13.3</v>
      </c>
      <c r="AF14" s="560">
        <v>11.9</v>
      </c>
      <c r="AG14" s="560">
        <v>11.8</v>
      </c>
      <c r="AH14" s="560">
        <v>10.8</v>
      </c>
      <c r="AI14" s="560">
        <v>9.4</v>
      </c>
      <c r="AJ14" s="560">
        <v>9</v>
      </c>
      <c r="AK14" s="560">
        <v>8.5</v>
      </c>
      <c r="AL14" s="560">
        <v>9.4</v>
      </c>
      <c r="AM14" s="560">
        <v>9.1999999999999993</v>
      </c>
      <c r="AN14" s="560">
        <v>9.6</v>
      </c>
      <c r="AO14" s="560">
        <v>10.6</v>
      </c>
      <c r="AP14" s="560">
        <v>12</v>
      </c>
      <c r="AQ14" s="560">
        <v>15.7</v>
      </c>
      <c r="AR14" s="560">
        <v>19</v>
      </c>
      <c r="AS14" s="560">
        <v>17.8</v>
      </c>
      <c r="AT14" s="560">
        <v>16.399999999999999</v>
      </c>
      <c r="AU14" s="560">
        <v>15.5</v>
      </c>
      <c r="AV14" s="560">
        <v>15</v>
      </c>
      <c r="AW14" s="560">
        <v>16.600000000000001</v>
      </c>
      <c r="AX14" s="560">
        <v>19.100000000000001</v>
      </c>
      <c r="AY14" s="560">
        <v>23.9</v>
      </c>
      <c r="AZ14" s="560">
        <v>26.1</v>
      </c>
      <c r="BA14" s="560">
        <v>31.8</v>
      </c>
      <c r="BB14" s="560">
        <v>30.3</v>
      </c>
      <c r="BC14" s="560">
        <v>32.1</v>
      </c>
      <c r="BD14" s="560">
        <v>23.3</v>
      </c>
      <c r="BE14" s="560">
        <v>20</v>
      </c>
      <c r="BF14" s="560">
        <v>17.3</v>
      </c>
      <c r="BG14" s="560">
        <v>15.7</v>
      </c>
      <c r="BH14" s="560">
        <v>15.1</v>
      </c>
      <c r="BI14" s="560">
        <v>15.9</v>
      </c>
      <c r="BJ14" s="560">
        <v>16.899999999999999</v>
      </c>
      <c r="BK14" s="560">
        <v>16</v>
      </c>
      <c r="BL14" s="560">
        <v>15</v>
      </c>
      <c r="BM14" s="560">
        <v>15.6</v>
      </c>
      <c r="BN14" s="560">
        <v>15.6</v>
      </c>
      <c r="BO14" s="560">
        <v>16.399999999999999</v>
      </c>
      <c r="BP14" s="560">
        <v>17</v>
      </c>
      <c r="BQ14" s="560">
        <v>16.899999999999999</v>
      </c>
      <c r="BR14" s="560">
        <v>15.5</v>
      </c>
      <c r="BS14" s="560">
        <v>15.1</v>
      </c>
      <c r="BT14" s="560">
        <v>14.4</v>
      </c>
      <c r="BU14" s="560">
        <v>13.5</v>
      </c>
      <c r="BV14" s="560">
        <v>13.9</v>
      </c>
      <c r="BW14" s="560">
        <v>13.2</v>
      </c>
      <c r="BX14" s="560">
        <v>13.2</v>
      </c>
      <c r="BY14" s="560">
        <v>13</v>
      </c>
      <c r="BZ14" s="560">
        <v>13.6</v>
      </c>
      <c r="CA14" s="560">
        <v>13.7</v>
      </c>
      <c r="CB14" s="560">
        <v>14.6</v>
      </c>
      <c r="CC14" s="560">
        <v>15.8</v>
      </c>
      <c r="CD14" s="560">
        <v>16.399999999999999</v>
      </c>
      <c r="CE14" s="560">
        <v>17.100000000000001</v>
      </c>
      <c r="CF14" s="560">
        <v>18.2</v>
      </c>
      <c r="CG14" s="560">
        <v>21</v>
      </c>
      <c r="CH14" s="560">
        <v>24.3</v>
      </c>
      <c r="CI14" s="560">
        <v>27.5</v>
      </c>
      <c r="CJ14" s="560">
        <v>25.9</v>
      </c>
      <c r="CK14" s="560">
        <v>29.4</v>
      </c>
      <c r="CL14" s="560">
        <v>39.700000000000003</v>
      </c>
      <c r="CM14" s="560">
        <v>41.2</v>
      </c>
      <c r="CN14" s="560">
        <v>39.6</v>
      </c>
      <c r="CO14" s="560">
        <v>38</v>
      </c>
      <c r="CP14" s="560">
        <v>35.1</v>
      </c>
      <c r="CQ14" s="560">
        <v>35.5</v>
      </c>
      <c r="CR14" s="560">
        <v>35.5</v>
      </c>
      <c r="CS14" s="560">
        <v>33.200000000000003</v>
      </c>
      <c r="CT14" s="560">
        <v>28</v>
      </c>
      <c r="CU14" s="560">
        <v>24.4</v>
      </c>
      <c r="CV14" s="560">
        <v>22.1</v>
      </c>
      <c r="CW14" s="560">
        <v>21.3</v>
      </c>
      <c r="CX14" s="560">
        <v>20.9</v>
      </c>
      <c r="CY14" s="560">
        <v>21.6</v>
      </c>
      <c r="CZ14" s="560">
        <v>22</v>
      </c>
      <c r="DA14" s="560">
        <v>22.5</v>
      </c>
      <c r="DB14" s="560">
        <v>23</v>
      </c>
      <c r="DC14" s="560">
        <v>22.7</v>
      </c>
      <c r="DD14" s="560">
        <v>21.6</v>
      </c>
      <c r="DE14" s="560">
        <v>21.7</v>
      </c>
      <c r="DF14" s="560">
        <v>21</v>
      </c>
      <c r="DG14" s="560">
        <v>20.399999999999999</v>
      </c>
      <c r="DH14" s="560">
        <v>19.600000000000001</v>
      </c>
      <c r="DI14" s="560">
        <v>19.399999999999999</v>
      </c>
      <c r="DJ14" s="560">
        <v>19.399999999999999</v>
      </c>
      <c r="DK14" s="560">
        <v>19.3</v>
      </c>
      <c r="DL14" s="560">
        <v>20.3</v>
      </c>
      <c r="DM14" s="560">
        <v>19.8</v>
      </c>
      <c r="DN14" s="560">
        <v>20.8</v>
      </c>
      <c r="DO14" s="560">
        <v>20.9</v>
      </c>
      <c r="DP14" s="560">
        <v>20.3</v>
      </c>
      <c r="DQ14" s="560">
        <v>20</v>
      </c>
      <c r="DR14" s="560">
        <v>20.5</v>
      </c>
      <c r="DS14" s="560">
        <v>20</v>
      </c>
      <c r="DT14" s="560">
        <v>20.6</v>
      </c>
      <c r="DU14" s="560">
        <v>21.9</v>
      </c>
      <c r="DV14" s="560">
        <v>25.5</v>
      </c>
      <c r="DW14" s="560">
        <v>28.4</v>
      </c>
      <c r="DX14" s="560">
        <v>33.1</v>
      </c>
      <c r="DY14" s="560">
        <v>40.6</v>
      </c>
      <c r="DZ14" s="560">
        <v>42.8</v>
      </c>
      <c r="EA14" s="560">
        <v>60.5</v>
      </c>
      <c r="EB14" s="560">
        <v>56.9</v>
      </c>
      <c r="EC14" s="560">
        <v>53.7</v>
      </c>
      <c r="ED14" s="560">
        <v>51.8</v>
      </c>
      <c r="EE14" s="560">
        <v>55.2</v>
      </c>
      <c r="EF14" s="560">
        <v>54.2</v>
      </c>
      <c r="EG14" s="560">
        <v>51.5</v>
      </c>
      <c r="EH14" s="560">
        <v>42.3</v>
      </c>
      <c r="EI14" s="560">
        <v>35.9</v>
      </c>
      <c r="EJ14" s="560">
        <v>34.700000000000003</v>
      </c>
      <c r="EK14" s="560">
        <v>32.9</v>
      </c>
      <c r="EL14" s="560">
        <v>32.1</v>
      </c>
      <c r="EM14" s="560">
        <v>30.9</v>
      </c>
      <c r="EN14" s="560">
        <v>31.6</v>
      </c>
      <c r="EO14" s="560">
        <v>32.5</v>
      </c>
      <c r="EP14" s="560">
        <v>30.3</v>
      </c>
      <c r="EQ14" s="560">
        <v>29.5</v>
      </c>
      <c r="ER14" s="560">
        <v>30.6</v>
      </c>
      <c r="ES14" s="560">
        <v>31.1</v>
      </c>
      <c r="ET14" s="560">
        <v>32.299999999999997</v>
      </c>
      <c r="EU14" s="560">
        <v>31.8</v>
      </c>
      <c r="EV14" s="560">
        <v>32.799999999999997</v>
      </c>
      <c r="EW14" s="560">
        <v>34</v>
      </c>
      <c r="EX14" s="560">
        <v>36.299999999999997</v>
      </c>
      <c r="EY14" s="560">
        <v>38.200000000000003</v>
      </c>
      <c r="EZ14" s="560">
        <v>58.2</v>
      </c>
      <c r="FA14" s="560">
        <v>71.900000000000006</v>
      </c>
      <c r="FB14" s="560">
        <v>101.6</v>
      </c>
      <c r="FC14" s="560">
        <v>130.30000000000001</v>
      </c>
      <c r="FD14" s="560">
        <v>144.4</v>
      </c>
      <c r="FE14" s="560">
        <v>148.6</v>
      </c>
      <c r="FF14" s="560">
        <v>159.30000000000001</v>
      </c>
      <c r="FG14" s="560">
        <v>141.19999999999999</v>
      </c>
      <c r="FH14" s="560">
        <v>131</v>
      </c>
      <c r="FI14" s="560">
        <v>123.9</v>
      </c>
      <c r="FJ14" s="560">
        <v>116.7</v>
      </c>
      <c r="FK14" s="560">
        <v>109.3</v>
      </c>
      <c r="FL14" s="560">
        <v>102.9</v>
      </c>
      <c r="FM14" s="560">
        <v>99.8</v>
      </c>
      <c r="FN14" s="560">
        <v>94.6</v>
      </c>
      <c r="FO14" s="560">
        <v>86.3</v>
      </c>
      <c r="FP14" s="560">
        <v>78.400000000000006</v>
      </c>
      <c r="FQ14" s="560">
        <v>75.099999999999994</v>
      </c>
      <c r="FR14" s="560">
        <v>69</v>
      </c>
      <c r="FS14" s="560">
        <v>64.8</v>
      </c>
      <c r="FT14" s="560">
        <v>59.1</v>
      </c>
      <c r="FU14" s="560">
        <v>57.1</v>
      </c>
      <c r="FV14" s="560">
        <v>39</v>
      </c>
      <c r="FW14" s="560">
        <v>35.799999999999997</v>
      </c>
      <c r="FX14" s="560">
        <v>34</v>
      </c>
      <c r="FY14" s="560">
        <v>33</v>
      </c>
      <c r="FZ14" s="560">
        <v>32.9</v>
      </c>
      <c r="GA14" s="560">
        <v>32.4</v>
      </c>
      <c r="GB14" s="560">
        <v>32.5</v>
      </c>
      <c r="GC14" s="560">
        <v>32.4</v>
      </c>
      <c r="GD14" s="560">
        <v>32.4</v>
      </c>
      <c r="GE14" s="560">
        <v>32.299999999999997</v>
      </c>
      <c r="GF14" s="560">
        <v>32.1</v>
      </c>
      <c r="GG14" s="560">
        <v>31.3</v>
      </c>
      <c r="GH14" s="560">
        <v>30.8</v>
      </c>
      <c r="GI14" s="560">
        <v>30.1</v>
      </c>
      <c r="GJ14" s="560">
        <v>30.2</v>
      </c>
      <c r="GK14" s="560">
        <v>29.7</v>
      </c>
      <c r="GL14" s="560">
        <v>29</v>
      </c>
      <c r="GM14" s="560">
        <v>27.6</v>
      </c>
      <c r="GN14" s="560">
        <v>27.2</v>
      </c>
      <c r="GO14" s="560">
        <v>27.1</v>
      </c>
      <c r="GP14" s="560">
        <v>28.4</v>
      </c>
      <c r="GQ14" s="560">
        <v>27.8</v>
      </c>
      <c r="GR14" s="560">
        <v>27.4</v>
      </c>
      <c r="GS14" s="560">
        <v>26.8</v>
      </c>
      <c r="GT14" s="560">
        <v>39.5</v>
      </c>
      <c r="GU14" s="560">
        <v>1039.4000000000001</v>
      </c>
      <c r="GV14" s="560">
        <v>767.8</v>
      </c>
      <c r="GW14" s="560">
        <v>299.89999999999998</v>
      </c>
      <c r="GX14" s="560">
        <v>565.79999999999995</v>
      </c>
      <c r="GY14" s="560">
        <v>480.5</v>
      </c>
    </row>
    <row r="15" spans="1:207">
      <c r="A15" s="560" t="s">
        <v>212</v>
      </c>
      <c r="B15" s="560">
        <v>63</v>
      </c>
      <c r="C15" s="560">
        <v>73.099999999999994</v>
      </c>
      <c r="D15" s="560">
        <v>73.5</v>
      </c>
      <c r="E15" s="560">
        <v>77.400000000000006</v>
      </c>
      <c r="F15" s="560">
        <v>79.3</v>
      </c>
      <c r="G15" s="560">
        <v>86.9</v>
      </c>
      <c r="H15" s="560">
        <v>86.9</v>
      </c>
      <c r="I15" s="560">
        <v>88.5</v>
      </c>
      <c r="J15" s="560">
        <v>91.4</v>
      </c>
      <c r="K15" s="560">
        <v>91.9</v>
      </c>
      <c r="L15" s="560">
        <v>92.9</v>
      </c>
      <c r="M15" s="560">
        <v>103.1</v>
      </c>
      <c r="N15" s="560">
        <v>105.4</v>
      </c>
      <c r="O15" s="560">
        <v>107.6</v>
      </c>
      <c r="P15" s="560">
        <v>109.2</v>
      </c>
      <c r="Q15" s="560">
        <v>112.3</v>
      </c>
      <c r="R15" s="560">
        <v>117.5</v>
      </c>
      <c r="S15" s="560">
        <v>125.4</v>
      </c>
      <c r="T15" s="560">
        <v>132.19999999999999</v>
      </c>
      <c r="U15" s="560">
        <v>139.1</v>
      </c>
      <c r="V15" s="560">
        <v>149.80000000000001</v>
      </c>
      <c r="W15" s="560">
        <v>164.6</v>
      </c>
      <c r="X15" s="560">
        <v>167.7</v>
      </c>
      <c r="Y15" s="560">
        <v>170.4</v>
      </c>
      <c r="Z15" s="560">
        <v>174.7</v>
      </c>
      <c r="AA15" s="560">
        <v>173.1</v>
      </c>
      <c r="AB15" s="560">
        <v>180.1</v>
      </c>
      <c r="AC15" s="560">
        <v>182.7</v>
      </c>
      <c r="AD15" s="560">
        <v>185.5</v>
      </c>
      <c r="AE15" s="560">
        <v>186.4</v>
      </c>
      <c r="AF15" s="560">
        <v>191.7</v>
      </c>
      <c r="AG15" s="560">
        <v>194.3</v>
      </c>
      <c r="AH15" s="560">
        <v>197.7</v>
      </c>
      <c r="AI15" s="560">
        <v>199</v>
      </c>
      <c r="AJ15" s="560">
        <v>207.1</v>
      </c>
      <c r="AK15" s="560">
        <v>209.9</v>
      </c>
      <c r="AL15" s="560">
        <v>214.9</v>
      </c>
      <c r="AM15" s="560">
        <v>219.2</v>
      </c>
      <c r="AN15" s="560">
        <v>234.6</v>
      </c>
      <c r="AO15" s="560">
        <v>240.7</v>
      </c>
      <c r="AP15" s="560">
        <v>251.2</v>
      </c>
      <c r="AQ15" s="560">
        <v>256.2</v>
      </c>
      <c r="AR15" s="560">
        <v>287.89999999999998</v>
      </c>
      <c r="AS15" s="560">
        <v>290.7</v>
      </c>
      <c r="AT15" s="560">
        <v>296.10000000000002</v>
      </c>
      <c r="AU15" s="560">
        <v>299</v>
      </c>
      <c r="AV15" s="560">
        <v>317</v>
      </c>
      <c r="AW15" s="560">
        <v>319.2</v>
      </c>
      <c r="AX15" s="560">
        <v>324.3</v>
      </c>
      <c r="AY15" s="560">
        <v>333.2</v>
      </c>
      <c r="AZ15" s="560">
        <v>349.7</v>
      </c>
      <c r="BA15" s="560">
        <v>365.2</v>
      </c>
      <c r="BB15" s="560">
        <v>368</v>
      </c>
      <c r="BC15" s="560">
        <v>373.7</v>
      </c>
      <c r="BD15" s="560">
        <v>368.5</v>
      </c>
      <c r="BE15" s="560">
        <v>371.8</v>
      </c>
      <c r="BF15" s="560">
        <v>376.3</v>
      </c>
      <c r="BG15" s="560">
        <v>379</v>
      </c>
      <c r="BH15" s="560">
        <v>380.4</v>
      </c>
      <c r="BI15" s="560">
        <v>387.9</v>
      </c>
      <c r="BJ15" s="560">
        <v>398.1</v>
      </c>
      <c r="BK15" s="560">
        <v>400.5</v>
      </c>
      <c r="BL15" s="560">
        <v>405.6</v>
      </c>
      <c r="BM15" s="560">
        <v>408.3</v>
      </c>
      <c r="BN15" s="560">
        <v>419.9</v>
      </c>
      <c r="BO15" s="560">
        <v>425.6</v>
      </c>
      <c r="BP15" s="560">
        <v>433.1</v>
      </c>
      <c r="BQ15" s="560">
        <v>435.8</v>
      </c>
      <c r="BR15" s="560">
        <v>441.9</v>
      </c>
      <c r="BS15" s="560">
        <v>447.5</v>
      </c>
      <c r="BT15" s="560">
        <v>449.4</v>
      </c>
      <c r="BU15" s="560">
        <v>452.8</v>
      </c>
      <c r="BV15" s="560">
        <v>470.3</v>
      </c>
      <c r="BW15" s="560">
        <v>473.4</v>
      </c>
      <c r="BX15" s="560">
        <v>478.8</v>
      </c>
      <c r="BY15" s="560">
        <v>484.9</v>
      </c>
      <c r="BZ15" s="560">
        <v>508.2</v>
      </c>
      <c r="CA15" s="560">
        <v>515.70000000000005</v>
      </c>
      <c r="CB15" s="560">
        <v>524.70000000000005</v>
      </c>
      <c r="CC15" s="560">
        <v>535.79999999999995</v>
      </c>
      <c r="CD15" s="560">
        <v>556.20000000000005</v>
      </c>
      <c r="CE15" s="560">
        <v>567.5</v>
      </c>
      <c r="CF15" s="560">
        <v>578.1</v>
      </c>
      <c r="CG15" s="560">
        <v>596.79999999999995</v>
      </c>
      <c r="CH15" s="560">
        <v>622.5</v>
      </c>
      <c r="CI15" s="560">
        <v>643.5</v>
      </c>
      <c r="CJ15" s="560">
        <v>653.79999999999995</v>
      </c>
      <c r="CK15" s="560">
        <v>682.3</v>
      </c>
      <c r="CL15" s="560">
        <v>710.5</v>
      </c>
      <c r="CM15" s="560">
        <v>729.1</v>
      </c>
      <c r="CN15" s="560">
        <v>741.3</v>
      </c>
      <c r="CO15" s="560">
        <v>746</v>
      </c>
      <c r="CP15" s="560">
        <v>766.5</v>
      </c>
      <c r="CQ15" s="560">
        <v>771.7</v>
      </c>
      <c r="CR15" s="560">
        <v>786.3</v>
      </c>
      <c r="CS15" s="560">
        <v>791.3</v>
      </c>
      <c r="CT15" s="560">
        <v>805.3</v>
      </c>
      <c r="CU15" s="560">
        <v>810.1</v>
      </c>
      <c r="CV15" s="560">
        <v>813.6</v>
      </c>
      <c r="CW15" s="560">
        <v>833.8</v>
      </c>
      <c r="CX15" s="560">
        <v>857.9</v>
      </c>
      <c r="CY15" s="560">
        <v>865.6</v>
      </c>
      <c r="CZ15" s="560">
        <v>870.7</v>
      </c>
      <c r="DA15" s="560">
        <v>864.6</v>
      </c>
      <c r="DB15" s="560">
        <v>893.2</v>
      </c>
      <c r="DC15" s="560">
        <v>912.9</v>
      </c>
      <c r="DD15" s="560">
        <v>908.5</v>
      </c>
      <c r="DE15" s="560">
        <v>910.7</v>
      </c>
      <c r="DF15" s="560">
        <v>930.5</v>
      </c>
      <c r="DG15" s="560">
        <v>931.3</v>
      </c>
      <c r="DH15" s="560">
        <v>937.2</v>
      </c>
      <c r="DI15" s="560">
        <v>942.7</v>
      </c>
      <c r="DJ15" s="560">
        <v>951.8</v>
      </c>
      <c r="DK15" s="560">
        <v>956</v>
      </c>
      <c r="DL15" s="560">
        <v>957.4</v>
      </c>
      <c r="DM15" s="560">
        <v>966.4</v>
      </c>
      <c r="DN15" s="560">
        <v>983.4</v>
      </c>
      <c r="DO15" s="560">
        <v>985</v>
      </c>
      <c r="DP15" s="560">
        <v>996.1</v>
      </c>
      <c r="DQ15" s="560">
        <v>1004.3</v>
      </c>
      <c r="DR15" s="560">
        <v>1016.9</v>
      </c>
      <c r="DS15" s="560">
        <v>1042.3</v>
      </c>
      <c r="DT15" s="560">
        <v>1054.7</v>
      </c>
      <c r="DU15" s="560">
        <v>1065.5999999999999</v>
      </c>
      <c r="DV15" s="560">
        <v>1107.8</v>
      </c>
      <c r="DW15" s="560">
        <v>1139.0999999999999</v>
      </c>
      <c r="DX15" s="560">
        <v>1145.2</v>
      </c>
      <c r="DY15" s="560">
        <v>1191.2</v>
      </c>
      <c r="DZ15" s="560">
        <v>1221</v>
      </c>
      <c r="EA15" s="560">
        <v>1247.0999999999999</v>
      </c>
      <c r="EB15" s="560">
        <v>1259.9000000000001</v>
      </c>
      <c r="EC15" s="560">
        <v>1276.2</v>
      </c>
      <c r="ED15" s="560">
        <v>1294.5999999999999</v>
      </c>
      <c r="EE15" s="560">
        <v>1312.6</v>
      </c>
      <c r="EF15" s="560">
        <v>1335.5</v>
      </c>
      <c r="EG15" s="560">
        <v>1341.2</v>
      </c>
      <c r="EH15" s="560">
        <v>1379.6</v>
      </c>
      <c r="EI15" s="560">
        <v>1400.6</v>
      </c>
      <c r="EJ15" s="560">
        <v>1409.8</v>
      </c>
      <c r="EK15" s="560">
        <v>1427.9</v>
      </c>
      <c r="EL15" s="560">
        <v>1464.4</v>
      </c>
      <c r="EM15" s="560">
        <v>1486</v>
      </c>
      <c r="EN15" s="560">
        <v>1501</v>
      </c>
      <c r="EO15" s="560">
        <v>1512.3</v>
      </c>
      <c r="EP15" s="560">
        <v>1566.7</v>
      </c>
      <c r="EQ15" s="560">
        <v>1583.2</v>
      </c>
      <c r="ER15" s="560">
        <v>1608.5</v>
      </c>
      <c r="ES15" s="560">
        <v>1613.8</v>
      </c>
      <c r="ET15" s="560">
        <v>1680.2</v>
      </c>
      <c r="EU15" s="560">
        <v>1680.4</v>
      </c>
      <c r="EV15" s="560">
        <v>1700.2</v>
      </c>
      <c r="EW15" s="560">
        <v>1728.6</v>
      </c>
      <c r="EX15" s="560">
        <v>1768.2</v>
      </c>
      <c r="EY15" s="560">
        <v>2113</v>
      </c>
      <c r="EZ15" s="560">
        <v>1905.3</v>
      </c>
      <c r="FA15" s="560">
        <v>1890.8</v>
      </c>
      <c r="FB15" s="560">
        <v>2001.9</v>
      </c>
      <c r="FC15" s="560">
        <v>2140</v>
      </c>
      <c r="FD15" s="560">
        <v>2136.9</v>
      </c>
      <c r="FE15" s="560">
        <v>2152.1</v>
      </c>
      <c r="FF15" s="560">
        <v>2262.1999999999998</v>
      </c>
      <c r="FG15" s="560">
        <v>2268.6999999999998</v>
      </c>
      <c r="FH15" s="560">
        <v>2292</v>
      </c>
      <c r="FI15" s="560">
        <v>2302.6999999999998</v>
      </c>
      <c r="FJ15" s="560">
        <v>2313</v>
      </c>
      <c r="FK15" s="560">
        <v>2312.1</v>
      </c>
      <c r="FL15" s="560">
        <v>2303.1999999999998</v>
      </c>
      <c r="FM15" s="560">
        <v>2312.1999999999998</v>
      </c>
      <c r="FN15" s="560">
        <v>2296.8000000000002</v>
      </c>
      <c r="FO15" s="560">
        <v>2321.8000000000002</v>
      </c>
      <c r="FP15" s="560">
        <v>2325.6</v>
      </c>
      <c r="FQ15" s="560">
        <v>2346.1</v>
      </c>
      <c r="FR15" s="560">
        <v>2365.6999999999998</v>
      </c>
      <c r="FS15" s="560">
        <v>2378.3000000000002</v>
      </c>
      <c r="FT15" s="560">
        <v>2396</v>
      </c>
      <c r="FU15" s="560">
        <v>2403.6999999999998</v>
      </c>
      <c r="FV15" s="560">
        <v>2433.1999999999998</v>
      </c>
      <c r="FW15" s="560">
        <v>2484.5</v>
      </c>
      <c r="FX15" s="560">
        <v>2524.6</v>
      </c>
      <c r="FY15" s="560">
        <v>2552.1</v>
      </c>
      <c r="FZ15" s="560">
        <v>2597.6999999999998</v>
      </c>
      <c r="GA15" s="560">
        <v>2633.9</v>
      </c>
      <c r="GB15" s="560">
        <v>2647.8</v>
      </c>
      <c r="GC15" s="560">
        <v>2661.2</v>
      </c>
      <c r="GD15" s="560">
        <v>2686.2</v>
      </c>
      <c r="GE15" s="560">
        <v>2706.5</v>
      </c>
      <c r="GF15" s="560">
        <v>2726.3</v>
      </c>
      <c r="GG15" s="560">
        <v>2750.1</v>
      </c>
      <c r="GH15" s="560">
        <v>2779.6</v>
      </c>
      <c r="GI15" s="560">
        <v>2790</v>
      </c>
      <c r="GJ15" s="560">
        <v>2823.8</v>
      </c>
      <c r="GK15" s="560">
        <v>2837</v>
      </c>
      <c r="GL15" s="560">
        <v>2892.6</v>
      </c>
      <c r="GM15" s="560">
        <v>2918.5</v>
      </c>
      <c r="GN15" s="560">
        <v>2939.4</v>
      </c>
      <c r="GO15" s="560">
        <v>2954</v>
      </c>
      <c r="GP15" s="560">
        <v>3039.6</v>
      </c>
      <c r="GQ15" s="560">
        <v>3074.1</v>
      </c>
      <c r="GR15" s="560">
        <v>3101</v>
      </c>
      <c r="GS15" s="560">
        <v>3117.9</v>
      </c>
      <c r="GT15" s="560">
        <v>3173.8</v>
      </c>
      <c r="GU15" s="560">
        <v>5570.5</v>
      </c>
      <c r="GV15" s="560">
        <v>4310.5</v>
      </c>
      <c r="GW15" s="560">
        <v>3670.2</v>
      </c>
      <c r="GX15" s="560">
        <v>5920.6</v>
      </c>
      <c r="GY15" s="560">
        <v>4257.8999999999996</v>
      </c>
    </row>
    <row r="16" spans="1:207">
      <c r="A16" s="560" t="s">
        <v>213</v>
      </c>
      <c r="B16" s="560">
        <v>1.2</v>
      </c>
      <c r="C16" s="560">
        <v>1.3</v>
      </c>
      <c r="D16" s="560">
        <v>1.3</v>
      </c>
      <c r="E16" s="560">
        <v>1.3</v>
      </c>
      <c r="F16" s="560">
        <v>1.4</v>
      </c>
      <c r="G16" s="560">
        <v>1.4</v>
      </c>
      <c r="H16" s="560">
        <v>1.5</v>
      </c>
      <c r="I16" s="560">
        <v>1.5</v>
      </c>
      <c r="J16" s="560">
        <v>1.7</v>
      </c>
      <c r="K16" s="560">
        <v>1.8</v>
      </c>
      <c r="L16" s="560">
        <v>1.8</v>
      </c>
      <c r="M16" s="560">
        <v>1.9</v>
      </c>
      <c r="N16" s="560">
        <v>1.8</v>
      </c>
      <c r="O16" s="560">
        <v>1.8</v>
      </c>
      <c r="P16" s="560">
        <v>1.8</v>
      </c>
      <c r="Q16" s="560">
        <v>1.9</v>
      </c>
      <c r="R16" s="560">
        <v>1.9</v>
      </c>
      <c r="S16" s="560">
        <v>2</v>
      </c>
      <c r="T16" s="560">
        <v>2.1</v>
      </c>
      <c r="U16" s="560">
        <v>2.2000000000000002</v>
      </c>
      <c r="V16" s="560">
        <v>2.2999999999999998</v>
      </c>
      <c r="W16" s="560">
        <v>2.4</v>
      </c>
      <c r="X16" s="560">
        <v>2.6</v>
      </c>
      <c r="Y16" s="560">
        <v>2.7</v>
      </c>
      <c r="Z16" s="560">
        <v>2.8</v>
      </c>
      <c r="AA16" s="560">
        <v>3</v>
      </c>
      <c r="AB16" s="560">
        <v>3.1</v>
      </c>
      <c r="AC16" s="560">
        <v>3.2</v>
      </c>
      <c r="AD16" s="560">
        <v>3.3</v>
      </c>
      <c r="AE16" s="560">
        <v>3.4</v>
      </c>
      <c r="AF16" s="560">
        <v>3.5</v>
      </c>
      <c r="AG16" s="560">
        <v>3.6</v>
      </c>
      <c r="AH16" s="560">
        <v>3.7</v>
      </c>
      <c r="AI16" s="560">
        <v>3.8</v>
      </c>
      <c r="AJ16" s="560">
        <v>3.9</v>
      </c>
      <c r="AK16" s="560">
        <v>4</v>
      </c>
      <c r="AL16" s="560">
        <v>4.0999999999999996</v>
      </c>
      <c r="AM16" s="560">
        <v>4.3</v>
      </c>
      <c r="AN16" s="560">
        <v>4.4000000000000004</v>
      </c>
      <c r="AO16" s="560">
        <v>4.5</v>
      </c>
      <c r="AP16" s="560">
        <v>4.5999999999999996</v>
      </c>
      <c r="AQ16" s="560">
        <v>4.8</v>
      </c>
      <c r="AR16" s="560">
        <v>5</v>
      </c>
      <c r="AS16" s="560">
        <v>5.3</v>
      </c>
      <c r="AT16" s="560">
        <v>5.6</v>
      </c>
      <c r="AU16" s="560">
        <v>5.9</v>
      </c>
      <c r="AV16" s="560">
        <v>6.1</v>
      </c>
      <c r="AW16" s="560">
        <v>6.3</v>
      </c>
      <c r="AX16" s="560">
        <v>6.7</v>
      </c>
      <c r="AY16" s="560">
        <v>6.9</v>
      </c>
      <c r="AZ16" s="560">
        <v>7.2</v>
      </c>
      <c r="BA16" s="560">
        <v>7.5</v>
      </c>
      <c r="BB16" s="560">
        <v>7.7</v>
      </c>
      <c r="BC16" s="560">
        <v>8</v>
      </c>
      <c r="BD16" s="560">
        <v>8.3000000000000007</v>
      </c>
      <c r="BE16" s="560">
        <v>8.5</v>
      </c>
      <c r="BF16" s="560">
        <v>8.8000000000000007</v>
      </c>
      <c r="BG16" s="560">
        <v>9.1</v>
      </c>
      <c r="BH16" s="560">
        <v>9.3000000000000007</v>
      </c>
      <c r="BI16" s="560">
        <v>9.5</v>
      </c>
      <c r="BJ16" s="560">
        <v>9.9</v>
      </c>
      <c r="BK16" s="560">
        <v>10.199999999999999</v>
      </c>
      <c r="BL16" s="560">
        <v>10.6</v>
      </c>
      <c r="BM16" s="560">
        <v>11</v>
      </c>
      <c r="BN16" s="560">
        <v>11.3</v>
      </c>
      <c r="BO16" s="560">
        <v>11.7</v>
      </c>
      <c r="BP16" s="560">
        <v>12.1</v>
      </c>
      <c r="BQ16" s="560">
        <v>12.7</v>
      </c>
      <c r="BR16" s="560">
        <v>12.7</v>
      </c>
      <c r="BS16" s="560">
        <v>12.9</v>
      </c>
      <c r="BT16" s="560">
        <v>13.5</v>
      </c>
      <c r="BU16" s="560">
        <v>13.7</v>
      </c>
      <c r="BV16" s="560">
        <v>14.2</v>
      </c>
      <c r="BW16" s="560">
        <v>14.8</v>
      </c>
      <c r="BX16" s="560">
        <v>15.1</v>
      </c>
      <c r="BY16" s="560">
        <v>15.4</v>
      </c>
      <c r="BZ16" s="560">
        <v>15.9</v>
      </c>
      <c r="CA16" s="560">
        <v>16.3</v>
      </c>
      <c r="CB16" s="560">
        <v>16.7</v>
      </c>
      <c r="CC16" s="560">
        <v>17.100000000000001</v>
      </c>
      <c r="CD16" s="560">
        <v>17.3</v>
      </c>
      <c r="CE16" s="560">
        <v>17.899999999999999</v>
      </c>
      <c r="CF16" s="560">
        <v>18.7</v>
      </c>
      <c r="CG16" s="560">
        <v>19.600000000000001</v>
      </c>
      <c r="CH16" s="560">
        <v>20.9</v>
      </c>
      <c r="CI16" s="560">
        <v>22.1</v>
      </c>
      <c r="CJ16" s="560">
        <v>23.1</v>
      </c>
      <c r="CK16" s="560">
        <v>24.2</v>
      </c>
      <c r="CL16" s="560">
        <v>25</v>
      </c>
      <c r="CM16" s="560">
        <v>25.8</v>
      </c>
      <c r="CN16" s="560">
        <v>26.4</v>
      </c>
      <c r="CO16" s="560">
        <v>26.8</v>
      </c>
      <c r="CP16" s="560">
        <v>28</v>
      </c>
      <c r="CQ16" s="560">
        <v>28.3</v>
      </c>
      <c r="CR16" s="560">
        <v>28.7</v>
      </c>
      <c r="CS16" s="560">
        <v>29.2</v>
      </c>
      <c r="CT16" s="560">
        <v>30.1</v>
      </c>
      <c r="CU16" s="560">
        <v>30.7</v>
      </c>
      <c r="CV16" s="560">
        <v>31.2</v>
      </c>
      <c r="CW16" s="560">
        <v>31.6</v>
      </c>
      <c r="CX16" s="560">
        <v>31.9</v>
      </c>
      <c r="CY16" s="560">
        <v>32.299999999999997</v>
      </c>
      <c r="CZ16" s="560">
        <v>32.9</v>
      </c>
      <c r="DA16" s="560">
        <v>33.5</v>
      </c>
      <c r="DB16" s="560">
        <v>34</v>
      </c>
      <c r="DC16" s="560">
        <v>34.6</v>
      </c>
      <c r="DD16" s="560">
        <v>35.200000000000003</v>
      </c>
      <c r="DE16" s="560">
        <v>35.799999999999997</v>
      </c>
      <c r="DF16" s="560">
        <v>37.200000000000003</v>
      </c>
      <c r="DG16" s="560">
        <v>38</v>
      </c>
      <c r="DH16" s="560">
        <v>38.6</v>
      </c>
      <c r="DI16" s="560">
        <v>39</v>
      </c>
      <c r="DJ16" s="560">
        <v>39.1</v>
      </c>
      <c r="DK16" s="560">
        <v>39.299999999999997</v>
      </c>
      <c r="DL16" s="560">
        <v>40</v>
      </c>
      <c r="DM16" s="560">
        <v>41.1</v>
      </c>
      <c r="DN16" s="560">
        <v>42.3</v>
      </c>
      <c r="DO16" s="560">
        <v>43.5</v>
      </c>
      <c r="DP16" s="560">
        <v>44.7</v>
      </c>
      <c r="DQ16" s="560">
        <v>45.8</v>
      </c>
      <c r="DR16" s="560">
        <v>46.9</v>
      </c>
      <c r="DS16" s="560">
        <v>48.1</v>
      </c>
      <c r="DT16" s="560">
        <v>49.3</v>
      </c>
      <c r="DU16" s="560">
        <v>50.6</v>
      </c>
      <c r="DV16" s="560">
        <v>51.5</v>
      </c>
      <c r="DW16" s="560">
        <v>52.5</v>
      </c>
      <c r="DX16" s="560">
        <v>53.4</v>
      </c>
      <c r="DY16" s="560">
        <v>54.3</v>
      </c>
      <c r="DZ16" s="560">
        <v>55.2</v>
      </c>
      <c r="EA16" s="560">
        <v>56</v>
      </c>
      <c r="EB16" s="560">
        <v>56.8</v>
      </c>
      <c r="EC16" s="560">
        <v>57.6</v>
      </c>
      <c r="ED16" s="560">
        <v>58.5</v>
      </c>
      <c r="EE16" s="560">
        <v>59.7</v>
      </c>
      <c r="EF16" s="560">
        <v>61.1</v>
      </c>
      <c r="EG16" s="560">
        <v>62.7</v>
      </c>
      <c r="EH16" s="560">
        <v>64.8</v>
      </c>
      <c r="EI16" s="560">
        <v>66.400000000000006</v>
      </c>
      <c r="EJ16" s="560">
        <v>67.7</v>
      </c>
      <c r="EK16" s="560">
        <v>68.7</v>
      </c>
      <c r="EL16" s="560">
        <v>70.3</v>
      </c>
      <c r="EM16" s="560">
        <v>71.2</v>
      </c>
      <c r="EN16" s="560">
        <v>72.099999999999994</v>
      </c>
      <c r="EO16" s="560">
        <v>73</v>
      </c>
      <c r="EP16" s="560">
        <v>74.400000000000006</v>
      </c>
      <c r="EQ16" s="560">
        <v>74.900000000000006</v>
      </c>
      <c r="ER16" s="560">
        <v>75.5</v>
      </c>
      <c r="ES16" s="560">
        <v>76.3</v>
      </c>
      <c r="ET16" s="560">
        <v>78</v>
      </c>
      <c r="EU16" s="560">
        <v>78.8</v>
      </c>
      <c r="EV16" s="560">
        <v>79.599999999999994</v>
      </c>
      <c r="EW16" s="560">
        <v>80.3</v>
      </c>
      <c r="EX16" s="560">
        <v>80.5</v>
      </c>
      <c r="EY16" s="560">
        <v>81</v>
      </c>
      <c r="EZ16" s="560">
        <v>81.2</v>
      </c>
      <c r="FA16" s="560">
        <v>81.2</v>
      </c>
      <c r="FB16" s="560">
        <v>80.599999999999994</v>
      </c>
      <c r="FC16" s="560">
        <v>80.3</v>
      </c>
      <c r="FD16" s="560">
        <v>79.900000000000006</v>
      </c>
      <c r="FE16" s="560">
        <v>79.5</v>
      </c>
      <c r="FF16" s="560">
        <v>79.5</v>
      </c>
      <c r="FG16" s="560">
        <v>79.3</v>
      </c>
      <c r="FH16" s="560">
        <v>79.3</v>
      </c>
      <c r="FI16" s="560">
        <v>79.5</v>
      </c>
      <c r="FJ16" s="560">
        <v>80.400000000000006</v>
      </c>
      <c r="FK16" s="560">
        <v>81.5</v>
      </c>
      <c r="FL16" s="560">
        <v>82.7</v>
      </c>
      <c r="FM16" s="560">
        <v>84.1</v>
      </c>
      <c r="FN16" s="560">
        <v>85.2</v>
      </c>
      <c r="FO16" s="560">
        <v>86.3</v>
      </c>
      <c r="FP16" s="560">
        <v>86.9</v>
      </c>
      <c r="FQ16" s="560">
        <v>86.8</v>
      </c>
      <c r="FR16" s="560">
        <v>86.6</v>
      </c>
      <c r="FS16" s="560">
        <v>86.8</v>
      </c>
      <c r="FT16" s="560">
        <v>87.5</v>
      </c>
      <c r="FU16" s="560">
        <v>88.9</v>
      </c>
      <c r="FV16" s="560">
        <v>90.9</v>
      </c>
      <c r="FW16" s="560">
        <v>92.6</v>
      </c>
      <c r="FX16" s="560">
        <v>94.2</v>
      </c>
      <c r="FY16" s="560">
        <v>95.7</v>
      </c>
      <c r="FZ16" s="560">
        <v>99.4</v>
      </c>
      <c r="GA16" s="560">
        <v>100.7</v>
      </c>
      <c r="GB16" s="560">
        <v>101.6</v>
      </c>
      <c r="GC16" s="560">
        <v>101.9</v>
      </c>
      <c r="GD16" s="560">
        <v>103</v>
      </c>
      <c r="GE16" s="560">
        <v>103.1</v>
      </c>
      <c r="GF16" s="560">
        <v>103.4</v>
      </c>
      <c r="GG16" s="560">
        <v>104</v>
      </c>
      <c r="GH16" s="560">
        <v>105.8</v>
      </c>
      <c r="GI16" s="560">
        <v>106.8</v>
      </c>
      <c r="GJ16" s="560">
        <v>108</v>
      </c>
      <c r="GK16" s="560">
        <v>109.3</v>
      </c>
      <c r="GL16" s="560">
        <v>111.5</v>
      </c>
      <c r="GM16" s="560">
        <v>113.1</v>
      </c>
      <c r="GN16" s="560">
        <v>114.7</v>
      </c>
      <c r="GO16" s="560">
        <v>116.4</v>
      </c>
      <c r="GP16" s="560">
        <v>117.6</v>
      </c>
      <c r="GQ16" s="560">
        <v>118.7</v>
      </c>
      <c r="GR16" s="560">
        <v>119.1</v>
      </c>
      <c r="GS16" s="560">
        <v>118.8</v>
      </c>
      <c r="GT16" s="560">
        <v>114.9</v>
      </c>
      <c r="GU16" s="560">
        <v>114.4</v>
      </c>
      <c r="GV16" s="560">
        <v>114.3</v>
      </c>
      <c r="GW16" s="560">
        <v>114.8</v>
      </c>
      <c r="GX16" s="560">
        <v>115.3</v>
      </c>
      <c r="GY16" s="560">
        <v>116</v>
      </c>
    </row>
    <row r="17" spans="1:207">
      <c r="A17" s="560" t="s">
        <v>214</v>
      </c>
      <c r="B17" s="560">
        <v>104.6</v>
      </c>
      <c r="C17" s="560">
        <v>105.5</v>
      </c>
      <c r="D17" s="560">
        <v>100.7</v>
      </c>
      <c r="E17" s="560">
        <v>101.5</v>
      </c>
      <c r="F17" s="560">
        <v>98.3</v>
      </c>
      <c r="G17" s="560">
        <v>100.7</v>
      </c>
      <c r="H17" s="560">
        <v>102.3</v>
      </c>
      <c r="I17" s="560">
        <v>105.5</v>
      </c>
      <c r="J17" s="560">
        <v>119.8</v>
      </c>
      <c r="K17" s="560">
        <v>123.4</v>
      </c>
      <c r="L17" s="560">
        <v>124.3</v>
      </c>
      <c r="M17" s="560">
        <v>127.1</v>
      </c>
      <c r="N17" s="560">
        <v>126.4</v>
      </c>
      <c r="O17" s="560">
        <v>129.19999999999999</v>
      </c>
      <c r="P17" s="560">
        <v>134.1</v>
      </c>
      <c r="Q17" s="560">
        <v>140</v>
      </c>
      <c r="R17" s="560">
        <v>142.80000000000001</v>
      </c>
      <c r="S17" s="560">
        <v>148.9</v>
      </c>
      <c r="T17" s="560">
        <v>154.9</v>
      </c>
      <c r="U17" s="560">
        <v>157.6</v>
      </c>
      <c r="V17" s="560">
        <v>158</v>
      </c>
      <c r="W17" s="560">
        <v>121.1</v>
      </c>
      <c r="X17" s="560">
        <v>152.80000000000001</v>
      </c>
      <c r="Y17" s="560">
        <v>158.5</v>
      </c>
      <c r="Z17" s="560">
        <v>162.5</v>
      </c>
      <c r="AA17" s="560">
        <v>169.3</v>
      </c>
      <c r="AB17" s="560">
        <v>176.1</v>
      </c>
      <c r="AC17" s="560">
        <v>182.7</v>
      </c>
      <c r="AD17" s="560">
        <v>188.8</v>
      </c>
      <c r="AE17" s="560">
        <v>195.7</v>
      </c>
      <c r="AF17" s="560">
        <v>198.6</v>
      </c>
      <c r="AG17" s="560">
        <v>208.5</v>
      </c>
      <c r="AH17" s="560">
        <v>212</v>
      </c>
      <c r="AI17" s="560">
        <v>223.1</v>
      </c>
      <c r="AJ17" s="560">
        <v>236.3</v>
      </c>
      <c r="AK17" s="560">
        <v>247.2</v>
      </c>
      <c r="AL17" s="560">
        <v>253.6</v>
      </c>
      <c r="AM17" s="560">
        <v>262</v>
      </c>
      <c r="AN17" s="560">
        <v>274.8</v>
      </c>
      <c r="AO17" s="560">
        <v>285.2</v>
      </c>
      <c r="AP17" s="560">
        <v>284.8</v>
      </c>
      <c r="AQ17" s="560">
        <v>292.2</v>
      </c>
      <c r="AR17" s="560">
        <v>302.2</v>
      </c>
      <c r="AS17" s="560">
        <v>318.89999999999998</v>
      </c>
      <c r="AT17" s="560">
        <v>330.9</v>
      </c>
      <c r="AU17" s="560">
        <v>342.7</v>
      </c>
      <c r="AV17" s="560">
        <v>356.9</v>
      </c>
      <c r="AW17" s="560">
        <v>352.7</v>
      </c>
      <c r="AX17" s="560">
        <v>352.5</v>
      </c>
      <c r="AY17" s="560">
        <v>359.7</v>
      </c>
      <c r="AZ17" s="560">
        <v>350.1</v>
      </c>
      <c r="BA17" s="560">
        <v>356.6</v>
      </c>
      <c r="BB17" s="560">
        <v>350.9</v>
      </c>
      <c r="BC17" s="560">
        <v>359.6</v>
      </c>
      <c r="BD17" s="560">
        <v>345.4</v>
      </c>
      <c r="BE17" s="560">
        <v>355.7</v>
      </c>
      <c r="BF17" s="560">
        <v>361.2</v>
      </c>
      <c r="BG17" s="560">
        <v>370.4</v>
      </c>
      <c r="BH17" s="560">
        <v>384.1</v>
      </c>
      <c r="BI17" s="560">
        <v>395.9</v>
      </c>
      <c r="BJ17" s="560">
        <v>432.3</v>
      </c>
      <c r="BK17" s="560">
        <v>388.5</v>
      </c>
      <c r="BL17" s="560">
        <v>421.5</v>
      </c>
      <c r="BM17" s="560">
        <v>428.9</v>
      </c>
      <c r="BN17" s="560">
        <v>426.3</v>
      </c>
      <c r="BO17" s="560">
        <v>429.4</v>
      </c>
      <c r="BP17" s="560">
        <v>439.5</v>
      </c>
      <c r="BQ17" s="560">
        <v>456</v>
      </c>
      <c r="BR17" s="560">
        <v>450.7</v>
      </c>
      <c r="BS17" s="560">
        <v>511.7</v>
      </c>
      <c r="BT17" s="560">
        <v>489</v>
      </c>
      <c r="BU17" s="560">
        <v>507</v>
      </c>
      <c r="BV17" s="560">
        <v>502.1</v>
      </c>
      <c r="BW17" s="560">
        <v>497.8</v>
      </c>
      <c r="BX17" s="560">
        <v>506.7</v>
      </c>
      <c r="BY17" s="560">
        <v>517.20000000000005</v>
      </c>
      <c r="BZ17" s="560">
        <v>552.9</v>
      </c>
      <c r="CA17" s="560">
        <v>566.70000000000005</v>
      </c>
      <c r="CB17" s="560">
        <v>571.6</v>
      </c>
      <c r="CC17" s="560">
        <v>579.79999999999995</v>
      </c>
      <c r="CD17" s="560">
        <v>582.5</v>
      </c>
      <c r="CE17" s="560">
        <v>594.6</v>
      </c>
      <c r="CF17" s="560">
        <v>600.70000000000005</v>
      </c>
      <c r="CG17" s="560">
        <v>600.79999999999995</v>
      </c>
      <c r="CH17" s="560">
        <v>580.79999999999995</v>
      </c>
      <c r="CI17" s="560">
        <v>585.9</v>
      </c>
      <c r="CJ17" s="560">
        <v>590.20000000000005</v>
      </c>
      <c r="CK17" s="560">
        <v>598.70000000000005</v>
      </c>
      <c r="CL17" s="560">
        <v>588.9</v>
      </c>
      <c r="CM17" s="560">
        <v>607.20000000000005</v>
      </c>
      <c r="CN17" s="560">
        <v>616.20000000000005</v>
      </c>
      <c r="CO17" s="560">
        <v>638.9</v>
      </c>
      <c r="CP17" s="560">
        <v>617</v>
      </c>
      <c r="CQ17" s="560">
        <v>643.5</v>
      </c>
      <c r="CR17" s="560">
        <v>659.2</v>
      </c>
      <c r="CS17" s="560">
        <v>675.3</v>
      </c>
      <c r="CT17" s="560">
        <v>673.7</v>
      </c>
      <c r="CU17" s="560">
        <v>697.8</v>
      </c>
      <c r="CV17" s="560">
        <v>695.4</v>
      </c>
      <c r="CW17" s="560">
        <v>705.4</v>
      </c>
      <c r="CX17" s="560">
        <v>724.6</v>
      </c>
      <c r="CY17" s="560">
        <v>746.8</v>
      </c>
      <c r="CZ17" s="560">
        <v>752.2</v>
      </c>
      <c r="DA17" s="560">
        <v>770</v>
      </c>
      <c r="DB17" s="560">
        <v>801.7</v>
      </c>
      <c r="DC17" s="560">
        <v>839.6</v>
      </c>
      <c r="DD17" s="560">
        <v>843.5</v>
      </c>
      <c r="DE17" s="560">
        <v>863.5</v>
      </c>
      <c r="DF17" s="560">
        <v>902.1</v>
      </c>
      <c r="DG17" s="560">
        <v>916.2</v>
      </c>
      <c r="DH17" s="560">
        <v>941.1</v>
      </c>
      <c r="DI17" s="560">
        <v>967.8</v>
      </c>
      <c r="DJ17" s="560">
        <v>996.1</v>
      </c>
      <c r="DK17" s="560">
        <v>1022.4</v>
      </c>
      <c r="DL17" s="560">
        <v>1043.2</v>
      </c>
      <c r="DM17" s="560">
        <v>1068</v>
      </c>
      <c r="DN17" s="560">
        <v>1077.9000000000001</v>
      </c>
      <c r="DO17" s="560">
        <v>1095.2</v>
      </c>
      <c r="DP17" s="560">
        <v>1120.5999999999999</v>
      </c>
      <c r="DQ17" s="560">
        <v>1154</v>
      </c>
      <c r="DR17" s="560">
        <v>1208.8</v>
      </c>
      <c r="DS17" s="560">
        <v>1230.2</v>
      </c>
      <c r="DT17" s="560">
        <v>1247.7</v>
      </c>
      <c r="DU17" s="560">
        <v>1258.7</v>
      </c>
      <c r="DV17" s="560">
        <v>1301.9000000000001</v>
      </c>
      <c r="DW17" s="560">
        <v>1308.9000000000001</v>
      </c>
      <c r="DX17" s="560">
        <v>1113.5999999999999</v>
      </c>
      <c r="DY17" s="560">
        <v>1231.8</v>
      </c>
      <c r="DZ17" s="560">
        <v>1075.2</v>
      </c>
      <c r="EA17" s="560">
        <v>1051</v>
      </c>
      <c r="EB17" s="560">
        <v>1044.0999999999999</v>
      </c>
      <c r="EC17" s="560">
        <v>1038.4000000000001</v>
      </c>
      <c r="ED17" s="560">
        <v>1021.3</v>
      </c>
      <c r="EE17" s="560">
        <v>1020.8</v>
      </c>
      <c r="EF17" s="560">
        <v>950.7</v>
      </c>
      <c r="EG17" s="560">
        <v>1021.3</v>
      </c>
      <c r="EH17" s="560">
        <v>1012.3</v>
      </c>
      <c r="EI17" s="560">
        <v>1026.8</v>
      </c>
      <c r="EJ17" s="560">
        <v>1064.4000000000001</v>
      </c>
      <c r="EK17" s="560">
        <v>1091.5999999999999</v>
      </c>
      <c r="EL17" s="560">
        <v>1172.3</v>
      </c>
      <c r="EM17" s="560">
        <v>1196.3</v>
      </c>
      <c r="EN17" s="560">
        <v>1225.5</v>
      </c>
      <c r="EO17" s="560">
        <v>1255.8</v>
      </c>
      <c r="EP17" s="560">
        <v>1320.5</v>
      </c>
      <c r="EQ17" s="560">
        <v>1351.3</v>
      </c>
      <c r="ER17" s="560">
        <v>1358.6</v>
      </c>
      <c r="ES17" s="560">
        <v>1397.5</v>
      </c>
      <c r="ET17" s="560">
        <v>1466.5</v>
      </c>
      <c r="EU17" s="560">
        <v>1495.9</v>
      </c>
      <c r="EV17" s="560">
        <v>1498.9</v>
      </c>
      <c r="EW17" s="560">
        <v>1508.6</v>
      </c>
      <c r="EX17" s="560">
        <v>1535.1</v>
      </c>
      <c r="EY17" s="560">
        <v>1552.5</v>
      </c>
      <c r="EZ17" s="560">
        <v>1497.5</v>
      </c>
      <c r="FA17" s="560">
        <v>1444.9</v>
      </c>
      <c r="FB17" s="560">
        <v>1202.4000000000001</v>
      </c>
      <c r="FC17" s="560">
        <v>1131.0999999999999</v>
      </c>
      <c r="FD17" s="560">
        <v>1135.3</v>
      </c>
      <c r="FE17" s="560">
        <v>1140.7</v>
      </c>
      <c r="FF17" s="560">
        <v>1191.8</v>
      </c>
      <c r="FG17" s="560">
        <v>1213.2</v>
      </c>
      <c r="FH17" s="560">
        <v>1256.3</v>
      </c>
      <c r="FI17" s="560">
        <v>1289.0999999999999</v>
      </c>
      <c r="FJ17" s="560">
        <v>1426.6</v>
      </c>
      <c r="FK17" s="560">
        <v>1445.9</v>
      </c>
      <c r="FL17" s="560">
        <v>1471.4</v>
      </c>
      <c r="FM17" s="560">
        <v>1470.9</v>
      </c>
      <c r="FN17" s="560">
        <v>1468.3</v>
      </c>
      <c r="FO17" s="560">
        <v>1487.7</v>
      </c>
      <c r="FP17" s="560">
        <v>1510</v>
      </c>
      <c r="FQ17" s="560">
        <v>1572</v>
      </c>
      <c r="FR17" s="560">
        <v>1650</v>
      </c>
      <c r="FS17" s="560">
        <v>1682.5</v>
      </c>
      <c r="FT17" s="560">
        <v>1674.9</v>
      </c>
      <c r="FU17" s="560">
        <v>1698.1</v>
      </c>
      <c r="FV17" s="560">
        <v>1744.8</v>
      </c>
      <c r="FW17" s="560">
        <v>1758.4</v>
      </c>
      <c r="FX17" s="560">
        <v>1798.6</v>
      </c>
      <c r="FY17" s="560">
        <v>1836.5</v>
      </c>
      <c r="FZ17" s="560">
        <v>1904.6</v>
      </c>
      <c r="GA17" s="560">
        <v>1943</v>
      </c>
      <c r="GB17" s="560">
        <v>1947.3</v>
      </c>
      <c r="GC17" s="560">
        <v>1964.9</v>
      </c>
      <c r="GD17" s="560">
        <v>1924.6</v>
      </c>
      <c r="GE17" s="560">
        <v>1943.4</v>
      </c>
      <c r="GF17" s="560">
        <v>1972</v>
      </c>
      <c r="GG17" s="560">
        <v>1992.9</v>
      </c>
      <c r="GH17" s="560">
        <v>2005</v>
      </c>
      <c r="GI17" s="560">
        <v>2007.2</v>
      </c>
      <c r="GJ17" s="560">
        <v>2056.1</v>
      </c>
      <c r="GK17" s="560">
        <v>2127.6</v>
      </c>
      <c r="GL17" s="560">
        <v>2076.1999999999998</v>
      </c>
      <c r="GM17" s="560">
        <v>2049.8000000000002</v>
      </c>
      <c r="GN17" s="560">
        <v>2091.3000000000002</v>
      </c>
      <c r="GO17" s="560">
        <v>2087.6999999999998</v>
      </c>
      <c r="GP17" s="560">
        <v>2169.3000000000002</v>
      </c>
      <c r="GQ17" s="560">
        <v>2222.8000000000002</v>
      </c>
      <c r="GR17" s="560">
        <v>2205.1999999999998</v>
      </c>
      <c r="GS17" s="560">
        <v>2223.1999999999998</v>
      </c>
      <c r="GT17" s="560">
        <v>2241.6</v>
      </c>
      <c r="GU17" s="560">
        <v>2099</v>
      </c>
      <c r="GV17" s="560">
        <v>2181.8000000000002</v>
      </c>
      <c r="GW17" s="560">
        <v>2259.8000000000002</v>
      </c>
      <c r="GX17" s="560">
        <v>2412.1</v>
      </c>
      <c r="GY17" s="560">
        <v>2550.4</v>
      </c>
    </row>
    <row r="18" spans="1:207">
      <c r="A18" s="560" t="s">
        <v>215</v>
      </c>
      <c r="B18" s="560">
        <v>88.5</v>
      </c>
      <c r="C18" s="560">
        <v>90.5</v>
      </c>
      <c r="D18" s="560">
        <v>92.5</v>
      </c>
      <c r="E18" s="560">
        <v>94.1</v>
      </c>
      <c r="F18" s="560">
        <v>97.7</v>
      </c>
      <c r="G18" s="560">
        <v>98.9</v>
      </c>
      <c r="H18" s="560">
        <v>101.7</v>
      </c>
      <c r="I18" s="560">
        <v>103.7</v>
      </c>
      <c r="J18" s="560">
        <v>104.6</v>
      </c>
      <c r="K18" s="560">
        <v>106.8</v>
      </c>
      <c r="L18" s="560">
        <v>108.9</v>
      </c>
      <c r="M18" s="560">
        <v>111.5</v>
      </c>
      <c r="N18" s="560">
        <v>114.6</v>
      </c>
      <c r="O18" s="560">
        <v>116.2</v>
      </c>
      <c r="P18" s="560">
        <v>118.4</v>
      </c>
      <c r="Q18" s="560">
        <v>119.7</v>
      </c>
      <c r="R18" s="560">
        <v>120.8</v>
      </c>
      <c r="S18" s="560">
        <v>124.1</v>
      </c>
      <c r="T18" s="560">
        <v>127.1</v>
      </c>
      <c r="U18" s="560">
        <v>127.7</v>
      </c>
      <c r="V18" s="560">
        <v>128.80000000000001</v>
      </c>
      <c r="W18" s="560">
        <v>133</v>
      </c>
      <c r="X18" s="560">
        <v>138.19999999999999</v>
      </c>
      <c r="Y18" s="560">
        <v>141.1</v>
      </c>
      <c r="Z18" s="560">
        <v>141.69999999999999</v>
      </c>
      <c r="AA18" s="560">
        <v>144.9</v>
      </c>
      <c r="AB18" s="560">
        <v>147.69999999999999</v>
      </c>
      <c r="AC18" s="560">
        <v>151.30000000000001</v>
      </c>
      <c r="AD18" s="560">
        <v>154.80000000000001</v>
      </c>
      <c r="AE18" s="560">
        <v>158</v>
      </c>
      <c r="AF18" s="560">
        <v>161.5</v>
      </c>
      <c r="AG18" s="560">
        <v>164.3</v>
      </c>
      <c r="AH18" s="560">
        <v>166.9</v>
      </c>
      <c r="AI18" s="560">
        <v>173.1</v>
      </c>
      <c r="AJ18" s="560">
        <v>169.7</v>
      </c>
      <c r="AK18" s="560">
        <v>173.9</v>
      </c>
      <c r="AL18" s="560">
        <v>176.4</v>
      </c>
      <c r="AM18" s="560">
        <v>178.5</v>
      </c>
      <c r="AN18" s="560">
        <v>180.9</v>
      </c>
      <c r="AO18" s="560">
        <v>184.6</v>
      </c>
      <c r="AP18" s="560">
        <v>189.5</v>
      </c>
      <c r="AQ18" s="560">
        <v>196.9</v>
      </c>
      <c r="AR18" s="560">
        <v>204.3</v>
      </c>
      <c r="AS18" s="560">
        <v>210.6</v>
      </c>
      <c r="AT18" s="560">
        <v>230.8</v>
      </c>
      <c r="AU18" s="560">
        <v>235.5</v>
      </c>
      <c r="AV18" s="560">
        <v>237.5</v>
      </c>
      <c r="AW18" s="560">
        <v>238.8</v>
      </c>
      <c r="AX18" s="560">
        <v>237.4</v>
      </c>
      <c r="AY18" s="560">
        <v>238.3</v>
      </c>
      <c r="AZ18" s="560">
        <v>241.8</v>
      </c>
      <c r="BA18" s="560">
        <v>246.3</v>
      </c>
      <c r="BB18" s="560">
        <v>250.7</v>
      </c>
      <c r="BC18" s="560">
        <v>261.2</v>
      </c>
      <c r="BD18" s="560">
        <v>267.5</v>
      </c>
      <c r="BE18" s="560">
        <v>273.7</v>
      </c>
      <c r="BF18" s="560">
        <v>281.60000000000002</v>
      </c>
      <c r="BG18" s="560">
        <v>287.7</v>
      </c>
      <c r="BH18" s="560">
        <v>292.2</v>
      </c>
      <c r="BI18" s="560">
        <v>297.5</v>
      </c>
      <c r="BJ18" s="560">
        <v>301</v>
      </c>
      <c r="BK18" s="560">
        <v>305.7</v>
      </c>
      <c r="BL18" s="560">
        <v>311.89999999999998</v>
      </c>
      <c r="BM18" s="560">
        <v>313.89999999999998</v>
      </c>
      <c r="BN18" s="560">
        <v>317.5</v>
      </c>
      <c r="BO18" s="560">
        <v>319.5</v>
      </c>
      <c r="BP18" s="560">
        <v>326.2</v>
      </c>
      <c r="BQ18" s="560">
        <v>330.4</v>
      </c>
      <c r="BR18" s="560">
        <v>336</v>
      </c>
      <c r="BS18" s="560">
        <v>344.4</v>
      </c>
      <c r="BT18" s="560">
        <v>352.4</v>
      </c>
      <c r="BU18" s="560">
        <v>357.4</v>
      </c>
      <c r="BV18" s="560">
        <v>365.2</v>
      </c>
      <c r="BW18" s="560">
        <v>372.5</v>
      </c>
      <c r="BX18" s="560">
        <v>377.5</v>
      </c>
      <c r="BY18" s="560">
        <v>382.6</v>
      </c>
      <c r="BZ18" s="560">
        <v>391</v>
      </c>
      <c r="CA18" s="560">
        <v>397.5</v>
      </c>
      <c r="CB18" s="560">
        <v>403.9</v>
      </c>
      <c r="CC18" s="560">
        <v>403</v>
      </c>
      <c r="CD18" s="560">
        <v>419.5</v>
      </c>
      <c r="CE18" s="560">
        <v>419.5</v>
      </c>
      <c r="CF18" s="560">
        <v>426.8</v>
      </c>
      <c r="CG18" s="560">
        <v>434.2</v>
      </c>
      <c r="CH18" s="560">
        <v>444</v>
      </c>
      <c r="CI18" s="560">
        <v>451.6</v>
      </c>
      <c r="CJ18" s="560">
        <v>461.3</v>
      </c>
      <c r="CK18" s="560">
        <v>471.5</v>
      </c>
      <c r="CL18" s="560">
        <v>476.4</v>
      </c>
      <c r="CM18" s="560">
        <v>481.2</v>
      </c>
      <c r="CN18" s="560">
        <v>486</v>
      </c>
      <c r="CO18" s="560">
        <v>489.9</v>
      </c>
      <c r="CP18" s="560">
        <v>489.7</v>
      </c>
      <c r="CQ18" s="560">
        <v>497.6</v>
      </c>
      <c r="CR18" s="560">
        <v>504.9</v>
      </c>
      <c r="CS18" s="560">
        <v>520.29999999999995</v>
      </c>
      <c r="CT18" s="560">
        <v>531.5</v>
      </c>
      <c r="CU18" s="560">
        <v>544.4</v>
      </c>
      <c r="CV18" s="560">
        <v>550.5</v>
      </c>
      <c r="CW18" s="560">
        <v>554.6</v>
      </c>
      <c r="CX18" s="560">
        <v>555.29999999999995</v>
      </c>
      <c r="CY18" s="560">
        <v>553.6</v>
      </c>
      <c r="CZ18" s="560">
        <v>558.9</v>
      </c>
      <c r="DA18" s="560">
        <v>563.79999999999995</v>
      </c>
      <c r="DB18" s="560">
        <v>570.4</v>
      </c>
      <c r="DC18" s="560">
        <v>577.70000000000005</v>
      </c>
      <c r="DD18" s="560">
        <v>581.79999999999995</v>
      </c>
      <c r="DE18" s="560">
        <v>593.20000000000005</v>
      </c>
      <c r="DF18" s="560">
        <v>595.70000000000005</v>
      </c>
      <c r="DG18" s="560">
        <v>610.4</v>
      </c>
      <c r="DH18" s="560">
        <v>616.6</v>
      </c>
      <c r="DI18" s="560">
        <v>623.79999999999995</v>
      </c>
      <c r="DJ18" s="560">
        <v>629.1</v>
      </c>
      <c r="DK18" s="560">
        <v>635.5</v>
      </c>
      <c r="DL18" s="560">
        <v>643</v>
      </c>
      <c r="DM18" s="560">
        <v>650.29999999999995</v>
      </c>
      <c r="DN18" s="560">
        <v>657.5</v>
      </c>
      <c r="DO18" s="560">
        <v>667.1</v>
      </c>
      <c r="DP18" s="560">
        <v>679</v>
      </c>
      <c r="DQ18" s="560">
        <v>690.7</v>
      </c>
      <c r="DR18" s="560">
        <v>698.6</v>
      </c>
      <c r="DS18" s="560">
        <v>707.3</v>
      </c>
      <c r="DT18" s="560">
        <v>711.3</v>
      </c>
      <c r="DU18" s="560">
        <v>717.1</v>
      </c>
      <c r="DV18" s="560">
        <v>724.2</v>
      </c>
      <c r="DW18" s="560">
        <v>724.1</v>
      </c>
      <c r="DX18" s="560">
        <v>725.3</v>
      </c>
      <c r="DY18" s="560">
        <v>737.1</v>
      </c>
      <c r="DZ18" s="560">
        <v>744</v>
      </c>
      <c r="EA18" s="560">
        <v>751.3</v>
      </c>
      <c r="EB18" s="560">
        <v>768.5</v>
      </c>
      <c r="EC18" s="560">
        <v>776.3</v>
      </c>
      <c r="ED18" s="560">
        <v>788.6</v>
      </c>
      <c r="EE18" s="560">
        <v>800</v>
      </c>
      <c r="EF18" s="560">
        <v>813</v>
      </c>
      <c r="EG18" s="560">
        <v>820.9</v>
      </c>
      <c r="EH18" s="560">
        <v>847.3</v>
      </c>
      <c r="EI18" s="560">
        <v>859.9</v>
      </c>
      <c r="EJ18" s="560">
        <v>871.3</v>
      </c>
      <c r="EK18" s="560">
        <v>893.8</v>
      </c>
      <c r="EL18" s="560">
        <v>915.1</v>
      </c>
      <c r="EM18" s="560">
        <v>937.3</v>
      </c>
      <c r="EN18" s="560">
        <v>952.1</v>
      </c>
      <c r="EO18" s="560">
        <v>965.3</v>
      </c>
      <c r="EP18" s="560">
        <v>981.8</v>
      </c>
      <c r="EQ18" s="560">
        <v>991.7</v>
      </c>
      <c r="ER18" s="560">
        <v>1004.1</v>
      </c>
      <c r="ES18" s="560">
        <v>1010.5</v>
      </c>
      <c r="ET18" s="560">
        <v>1025.9000000000001</v>
      </c>
      <c r="EU18" s="560">
        <v>1033.0999999999999</v>
      </c>
      <c r="EV18" s="560">
        <v>1035.8</v>
      </c>
      <c r="EW18" s="560">
        <v>1052.5999999999999</v>
      </c>
      <c r="EX18" s="560">
        <v>1045.7</v>
      </c>
      <c r="EY18" s="560">
        <v>1054.7</v>
      </c>
      <c r="EZ18" s="560">
        <v>1058.5</v>
      </c>
      <c r="FA18" s="560">
        <v>1040</v>
      </c>
      <c r="FB18" s="560">
        <v>1015.9</v>
      </c>
      <c r="FC18" s="560">
        <v>1017.3</v>
      </c>
      <c r="FD18" s="560">
        <v>1028.8</v>
      </c>
      <c r="FE18" s="560">
        <v>1045.3</v>
      </c>
      <c r="FF18" s="560">
        <v>1044.5999999999999</v>
      </c>
      <c r="FG18" s="560">
        <v>1062.0999999999999</v>
      </c>
      <c r="FH18" s="560">
        <v>1069.0999999999999</v>
      </c>
      <c r="FI18" s="560">
        <v>1076.4000000000001</v>
      </c>
      <c r="FJ18" s="560">
        <v>1091.5</v>
      </c>
      <c r="FK18" s="560">
        <v>1105.5</v>
      </c>
      <c r="FL18" s="560">
        <v>1103.9000000000001</v>
      </c>
      <c r="FM18" s="560">
        <v>1114</v>
      </c>
      <c r="FN18" s="560">
        <v>1130.9000000000001</v>
      </c>
      <c r="FO18" s="560">
        <v>1133.9000000000001</v>
      </c>
      <c r="FP18" s="560">
        <v>1131.3</v>
      </c>
      <c r="FQ18" s="560">
        <v>1148.4000000000001</v>
      </c>
      <c r="FR18" s="560">
        <v>1174.5999999999999</v>
      </c>
      <c r="FS18" s="560">
        <v>1180.8</v>
      </c>
      <c r="FT18" s="560">
        <v>1195</v>
      </c>
      <c r="FU18" s="560">
        <v>1204.0999999999999</v>
      </c>
      <c r="FV18" s="560">
        <v>1220.5</v>
      </c>
      <c r="FW18" s="560">
        <v>1237.5</v>
      </c>
      <c r="FX18" s="560">
        <v>1248.4000000000001</v>
      </c>
      <c r="FY18" s="560">
        <v>1257</v>
      </c>
      <c r="FZ18" s="560">
        <v>1262.2</v>
      </c>
      <c r="GA18" s="560">
        <v>1273.0999999999999</v>
      </c>
      <c r="GB18" s="560">
        <v>1275.5</v>
      </c>
      <c r="GC18" s="560">
        <v>1289.9000000000001</v>
      </c>
      <c r="GD18" s="560">
        <v>1295.9000000000001</v>
      </c>
      <c r="GE18" s="560">
        <v>1301</v>
      </c>
      <c r="GF18" s="560">
        <v>1320.8</v>
      </c>
      <c r="GG18" s="560">
        <v>1328.9</v>
      </c>
      <c r="GH18" s="560">
        <v>1339.4</v>
      </c>
      <c r="GI18" s="560">
        <v>1359.4</v>
      </c>
      <c r="GJ18" s="560">
        <v>1372.1</v>
      </c>
      <c r="GK18" s="560">
        <v>1394.4</v>
      </c>
      <c r="GL18" s="560">
        <v>1427.2</v>
      </c>
      <c r="GM18" s="560">
        <v>1448.6</v>
      </c>
      <c r="GN18" s="560">
        <v>1468.9</v>
      </c>
      <c r="GO18" s="560">
        <v>1502.2</v>
      </c>
      <c r="GP18" s="560">
        <v>1504.8</v>
      </c>
      <c r="GQ18" s="560">
        <v>1520.9</v>
      </c>
      <c r="GR18" s="560">
        <v>1547.4</v>
      </c>
      <c r="GS18" s="560">
        <v>1556.3</v>
      </c>
      <c r="GT18" s="560">
        <v>1577.1</v>
      </c>
      <c r="GU18" s="560">
        <v>1460.5</v>
      </c>
      <c r="GV18" s="560">
        <v>1544</v>
      </c>
      <c r="GW18" s="560">
        <v>1557</v>
      </c>
      <c r="GX18" s="560">
        <v>1580.1</v>
      </c>
      <c r="GY18" s="560">
        <v>1640.2</v>
      </c>
    </row>
    <row r="19" spans="1:207">
      <c r="A19" s="560" t="s">
        <v>216</v>
      </c>
      <c r="B19" s="560">
        <v>30.7</v>
      </c>
      <c r="C19" s="560">
        <v>30.8</v>
      </c>
      <c r="D19" s="560">
        <v>31.7</v>
      </c>
      <c r="E19" s="560">
        <v>30.2</v>
      </c>
      <c r="F19" s="560">
        <v>34</v>
      </c>
      <c r="G19" s="560">
        <v>34.9</v>
      </c>
      <c r="H19" s="560">
        <v>34.1</v>
      </c>
      <c r="I19" s="560">
        <v>34.6</v>
      </c>
      <c r="J19" s="560">
        <v>36.799999999999997</v>
      </c>
      <c r="K19" s="560">
        <v>37.1</v>
      </c>
      <c r="L19" s="560">
        <v>38.299999999999997</v>
      </c>
      <c r="M19" s="560">
        <v>42.4</v>
      </c>
      <c r="N19" s="560">
        <v>45.3</v>
      </c>
      <c r="O19" s="560">
        <v>45.4</v>
      </c>
      <c r="P19" s="560">
        <v>43.4</v>
      </c>
      <c r="Q19" s="560">
        <v>45.6</v>
      </c>
      <c r="R19" s="560">
        <v>43.7</v>
      </c>
      <c r="S19" s="560">
        <v>45.9</v>
      </c>
      <c r="T19" s="560">
        <v>50.8</v>
      </c>
      <c r="U19" s="560">
        <v>44.6</v>
      </c>
      <c r="V19" s="560">
        <v>37.6</v>
      </c>
      <c r="W19" s="560">
        <v>40.799999999999997</v>
      </c>
      <c r="X19" s="560">
        <v>51.4</v>
      </c>
      <c r="Y19" s="560">
        <v>52.3</v>
      </c>
      <c r="Z19" s="560">
        <v>59.6</v>
      </c>
      <c r="AA19" s="560">
        <v>58.6</v>
      </c>
      <c r="AB19" s="560">
        <v>58.1</v>
      </c>
      <c r="AC19" s="560">
        <v>57.1</v>
      </c>
      <c r="AD19" s="560">
        <v>61.5</v>
      </c>
      <c r="AE19" s="560">
        <v>67.099999999999994</v>
      </c>
      <c r="AF19" s="560">
        <v>69.7</v>
      </c>
      <c r="AG19" s="560">
        <v>70.099999999999994</v>
      </c>
      <c r="AH19" s="560">
        <v>65</v>
      </c>
      <c r="AI19" s="560">
        <v>78.599999999999994</v>
      </c>
      <c r="AJ19" s="560">
        <v>79.099999999999994</v>
      </c>
      <c r="AK19" s="560">
        <v>83.3</v>
      </c>
      <c r="AL19" s="560">
        <v>80.3</v>
      </c>
      <c r="AM19" s="560">
        <v>80.3</v>
      </c>
      <c r="AN19" s="560">
        <v>78.900000000000006</v>
      </c>
      <c r="AO19" s="560">
        <v>75.3</v>
      </c>
      <c r="AP19" s="560">
        <v>83.1</v>
      </c>
      <c r="AQ19" s="560">
        <v>62.6</v>
      </c>
      <c r="AR19" s="560">
        <v>69.900000000000006</v>
      </c>
      <c r="AS19" s="560">
        <v>76.8</v>
      </c>
      <c r="AT19" s="560">
        <v>75.400000000000006</v>
      </c>
      <c r="AU19" s="560">
        <v>65.900000000000006</v>
      </c>
      <c r="AV19" s="560">
        <v>68.400000000000006</v>
      </c>
      <c r="AW19" s="560">
        <v>58.9</v>
      </c>
      <c r="AX19" s="560">
        <v>47.6</v>
      </c>
      <c r="AY19" s="560">
        <v>49</v>
      </c>
      <c r="AZ19" s="560">
        <v>49.8</v>
      </c>
      <c r="BA19" s="560">
        <v>45.1</v>
      </c>
      <c r="BB19" s="560">
        <v>47.1</v>
      </c>
      <c r="BC19" s="560">
        <v>61.9</v>
      </c>
      <c r="BD19" s="560">
        <v>70.7</v>
      </c>
      <c r="BE19" s="560">
        <v>72.400000000000006</v>
      </c>
      <c r="BF19" s="560">
        <v>84.9</v>
      </c>
      <c r="BG19" s="560">
        <v>83.7</v>
      </c>
      <c r="BH19" s="560">
        <v>71.3</v>
      </c>
      <c r="BI19" s="560">
        <v>72.099999999999994</v>
      </c>
      <c r="BJ19" s="560">
        <v>77.7</v>
      </c>
      <c r="BK19" s="560">
        <v>76</v>
      </c>
      <c r="BL19" s="560">
        <v>81.7</v>
      </c>
      <c r="BM19" s="560">
        <v>79.5</v>
      </c>
      <c r="BN19" s="560">
        <v>84.4</v>
      </c>
      <c r="BO19" s="560">
        <v>85.5</v>
      </c>
      <c r="BP19" s="560">
        <v>86.9</v>
      </c>
      <c r="BQ19" s="560">
        <v>97.9</v>
      </c>
      <c r="BR19" s="560">
        <v>98.7</v>
      </c>
      <c r="BS19" s="560">
        <v>111.8</v>
      </c>
      <c r="BT19" s="560">
        <v>116.2</v>
      </c>
      <c r="BU19" s="560">
        <v>110.7</v>
      </c>
      <c r="BV19" s="560">
        <v>108</v>
      </c>
      <c r="BW19" s="560">
        <v>115.3</v>
      </c>
      <c r="BX19" s="560">
        <v>125.1</v>
      </c>
      <c r="BY19" s="560">
        <v>130.9</v>
      </c>
      <c r="BZ19" s="560">
        <v>132.69999999999999</v>
      </c>
      <c r="CA19" s="560">
        <v>118.7</v>
      </c>
      <c r="CB19" s="560">
        <v>114.4</v>
      </c>
      <c r="CC19" s="560">
        <v>113.5</v>
      </c>
      <c r="CD19" s="560">
        <v>112.5</v>
      </c>
      <c r="CE19" s="560">
        <v>116.8</v>
      </c>
      <c r="CF19" s="560">
        <v>119.9</v>
      </c>
      <c r="CG19" s="560">
        <v>118.8</v>
      </c>
      <c r="CH19" s="560">
        <v>115.3</v>
      </c>
      <c r="CI19" s="560">
        <v>110.9</v>
      </c>
      <c r="CJ19" s="560">
        <v>111.9</v>
      </c>
      <c r="CK19" s="560">
        <v>113.1</v>
      </c>
      <c r="CL19" s="560">
        <v>125</v>
      </c>
      <c r="CM19" s="560">
        <v>126.8</v>
      </c>
      <c r="CN19" s="560">
        <v>122.1</v>
      </c>
      <c r="CO19" s="560">
        <v>131.6</v>
      </c>
      <c r="CP19" s="560">
        <v>136.4</v>
      </c>
      <c r="CQ19" s="560">
        <v>148.69999999999999</v>
      </c>
      <c r="CR19" s="560">
        <v>140.69999999999999</v>
      </c>
      <c r="CS19" s="560">
        <v>171.9</v>
      </c>
      <c r="CT19" s="560">
        <v>149.5</v>
      </c>
      <c r="CU19" s="560">
        <v>158</v>
      </c>
      <c r="CV19" s="560">
        <v>173.8</v>
      </c>
      <c r="CW19" s="560">
        <v>183.6</v>
      </c>
      <c r="CX19" s="560">
        <v>187.8</v>
      </c>
      <c r="CY19" s="560">
        <v>184.4</v>
      </c>
      <c r="CZ19" s="560">
        <v>191</v>
      </c>
      <c r="DA19" s="560">
        <v>187.1</v>
      </c>
      <c r="DB19" s="560">
        <v>194.3</v>
      </c>
      <c r="DC19" s="560">
        <v>205.5</v>
      </c>
      <c r="DD19" s="560">
        <v>205.9</v>
      </c>
      <c r="DE19" s="560">
        <v>208.6</v>
      </c>
      <c r="DF19" s="560">
        <v>210</v>
      </c>
      <c r="DG19" s="560">
        <v>214</v>
      </c>
      <c r="DH19" s="560">
        <v>226</v>
      </c>
      <c r="DI19" s="560">
        <v>215.9</v>
      </c>
      <c r="DJ19" s="560">
        <v>213.5</v>
      </c>
      <c r="DK19" s="560">
        <v>209.9</v>
      </c>
      <c r="DL19" s="560">
        <v>215.8</v>
      </c>
      <c r="DM19" s="560">
        <v>211.3</v>
      </c>
      <c r="DN19" s="560">
        <v>222.3</v>
      </c>
      <c r="DO19" s="560">
        <v>219.9</v>
      </c>
      <c r="DP19" s="560">
        <v>223.3</v>
      </c>
      <c r="DQ19" s="560">
        <v>228</v>
      </c>
      <c r="DR19" s="560">
        <v>239.4</v>
      </c>
      <c r="DS19" s="560">
        <v>237.6</v>
      </c>
      <c r="DT19" s="560">
        <v>219</v>
      </c>
      <c r="DU19" s="560">
        <v>221.3</v>
      </c>
      <c r="DV19" s="560">
        <v>185.1</v>
      </c>
      <c r="DW19" s="560">
        <v>179</v>
      </c>
      <c r="DX19" s="560">
        <v>159.30000000000001</v>
      </c>
      <c r="DY19" s="560">
        <v>142.4</v>
      </c>
      <c r="DZ19" s="560">
        <v>143.80000000000001</v>
      </c>
      <c r="EA19" s="560">
        <v>150</v>
      </c>
      <c r="EB19" s="560">
        <v>158</v>
      </c>
      <c r="EC19" s="560">
        <v>175.5</v>
      </c>
      <c r="ED19" s="560">
        <v>196.1</v>
      </c>
      <c r="EE19" s="560">
        <v>192.6</v>
      </c>
      <c r="EF19" s="560">
        <v>213.9</v>
      </c>
      <c r="EG19" s="560">
        <v>236.6</v>
      </c>
      <c r="EH19" s="560">
        <v>247</v>
      </c>
      <c r="EI19" s="560">
        <v>266.8</v>
      </c>
      <c r="EJ19" s="560">
        <v>288.3</v>
      </c>
      <c r="EK19" s="560">
        <v>293.60000000000002</v>
      </c>
      <c r="EL19" s="560">
        <v>370.6</v>
      </c>
      <c r="EM19" s="560">
        <v>359</v>
      </c>
      <c r="EN19" s="560">
        <v>365.2</v>
      </c>
      <c r="EO19" s="560">
        <v>402.9</v>
      </c>
      <c r="EP19" s="560">
        <v>416.9</v>
      </c>
      <c r="EQ19" s="560">
        <v>427.6</v>
      </c>
      <c r="ER19" s="560">
        <v>446.6</v>
      </c>
      <c r="ES19" s="560">
        <v>409.8</v>
      </c>
      <c r="ET19" s="560">
        <v>413.6</v>
      </c>
      <c r="EU19" s="560">
        <v>407.2</v>
      </c>
      <c r="EV19" s="560">
        <v>370.9</v>
      </c>
      <c r="EW19" s="560">
        <v>352.7</v>
      </c>
      <c r="EX19" s="560">
        <v>291.89999999999998</v>
      </c>
      <c r="EY19" s="560">
        <v>278.7</v>
      </c>
      <c r="EZ19" s="560">
        <v>264.39999999999998</v>
      </c>
      <c r="FA19" s="560">
        <v>162.6</v>
      </c>
      <c r="FB19" s="560">
        <v>166.5</v>
      </c>
      <c r="FC19" s="560">
        <v>188.6</v>
      </c>
      <c r="FD19" s="560">
        <v>200.7</v>
      </c>
      <c r="FE19" s="560">
        <v>234.2</v>
      </c>
      <c r="FF19" s="560">
        <v>249.8</v>
      </c>
      <c r="FG19" s="560">
        <v>255.6</v>
      </c>
      <c r="FH19" s="560">
        <v>272.60000000000002</v>
      </c>
      <c r="FI19" s="560">
        <v>284</v>
      </c>
      <c r="FJ19" s="560">
        <v>277.3</v>
      </c>
      <c r="FK19" s="560">
        <v>276.89999999999998</v>
      </c>
      <c r="FL19" s="560">
        <v>248.2</v>
      </c>
      <c r="FM19" s="560">
        <v>287</v>
      </c>
      <c r="FN19" s="560">
        <v>310.7</v>
      </c>
      <c r="FO19" s="560">
        <v>325</v>
      </c>
      <c r="FP19" s="560">
        <v>332.9</v>
      </c>
      <c r="FQ19" s="560">
        <v>332.8</v>
      </c>
      <c r="FR19" s="560">
        <v>350.8</v>
      </c>
      <c r="FS19" s="560">
        <v>347.3</v>
      </c>
      <c r="FT19" s="560">
        <v>354.3</v>
      </c>
      <c r="FU19" s="560">
        <v>356.9</v>
      </c>
      <c r="FV19" s="560">
        <v>392.8</v>
      </c>
      <c r="FW19" s="560">
        <v>415.1</v>
      </c>
      <c r="FX19" s="560">
        <v>387.1</v>
      </c>
      <c r="FY19" s="560">
        <v>389.8</v>
      </c>
      <c r="FZ19" s="560">
        <v>403.5</v>
      </c>
      <c r="GA19" s="560">
        <v>408.5</v>
      </c>
      <c r="GB19" s="560">
        <v>379.6</v>
      </c>
      <c r="GC19" s="560">
        <v>349.7</v>
      </c>
      <c r="GD19" s="560">
        <v>364.6</v>
      </c>
      <c r="GE19" s="560">
        <v>367.7</v>
      </c>
      <c r="GF19" s="560">
        <v>374.8</v>
      </c>
      <c r="GG19" s="560">
        <v>353.8</v>
      </c>
      <c r="GH19" s="560">
        <v>288.60000000000002</v>
      </c>
      <c r="GI19" s="560">
        <v>295.2</v>
      </c>
      <c r="GJ19" s="560">
        <v>309.8</v>
      </c>
      <c r="GK19" s="560">
        <v>306.39999999999998</v>
      </c>
      <c r="GL19" s="560">
        <v>244.8</v>
      </c>
      <c r="GM19" s="560">
        <v>270.5</v>
      </c>
      <c r="GN19" s="560">
        <v>275</v>
      </c>
      <c r="GO19" s="560">
        <v>286.8</v>
      </c>
      <c r="GP19" s="560">
        <v>284.39999999999998</v>
      </c>
      <c r="GQ19" s="560">
        <v>291.7</v>
      </c>
      <c r="GR19" s="560">
        <v>279.60000000000002</v>
      </c>
      <c r="GS19" s="560">
        <v>303.89999999999998</v>
      </c>
      <c r="GT19" s="560">
        <v>233.3</v>
      </c>
      <c r="GU19" s="560">
        <v>229.3</v>
      </c>
      <c r="GV19" s="560">
        <v>288.5</v>
      </c>
      <c r="GW19" s="560">
        <v>304</v>
      </c>
      <c r="GX19" s="560">
        <v>331.9</v>
      </c>
      <c r="GY19" s="560">
        <v>351.7</v>
      </c>
    </row>
    <row r="20" spans="1:207">
      <c r="A20" s="560" t="s">
        <v>217</v>
      </c>
      <c r="B20" s="560">
        <v>247.9</v>
      </c>
      <c r="C20" s="560">
        <v>249.1</v>
      </c>
      <c r="D20" s="560">
        <v>254.6</v>
      </c>
      <c r="E20" s="560">
        <v>258.7</v>
      </c>
      <c r="F20" s="560">
        <v>261.89999999999998</v>
      </c>
      <c r="G20" s="560">
        <v>266.10000000000002</v>
      </c>
      <c r="H20" s="560">
        <v>269.8</v>
      </c>
      <c r="I20" s="560">
        <v>272.10000000000002</v>
      </c>
      <c r="J20" s="560">
        <v>282.2</v>
      </c>
      <c r="K20" s="560">
        <v>286.5</v>
      </c>
      <c r="L20" s="560">
        <v>284.3</v>
      </c>
      <c r="M20" s="560">
        <v>291.7</v>
      </c>
      <c r="N20" s="560">
        <v>299.60000000000002</v>
      </c>
      <c r="O20" s="560">
        <v>302.7</v>
      </c>
      <c r="P20" s="560">
        <v>304.2</v>
      </c>
      <c r="Q20" s="560">
        <v>312.60000000000002</v>
      </c>
      <c r="R20" s="560">
        <v>324.60000000000002</v>
      </c>
      <c r="S20" s="560">
        <v>335</v>
      </c>
      <c r="T20" s="560">
        <v>346.7</v>
      </c>
      <c r="U20" s="560">
        <v>359.2</v>
      </c>
      <c r="V20" s="560">
        <v>370.1</v>
      </c>
      <c r="W20" s="560">
        <v>373.4</v>
      </c>
      <c r="X20" s="560">
        <v>385.4</v>
      </c>
      <c r="Y20" s="560">
        <v>395.6</v>
      </c>
      <c r="Z20" s="560">
        <v>401.3</v>
      </c>
      <c r="AA20" s="560">
        <v>401</v>
      </c>
      <c r="AB20" s="560">
        <v>403.5</v>
      </c>
      <c r="AC20" s="560">
        <v>410.8</v>
      </c>
      <c r="AD20" s="560">
        <v>421.2</v>
      </c>
      <c r="AE20" s="560">
        <v>431.4</v>
      </c>
      <c r="AF20" s="560">
        <v>438</v>
      </c>
      <c r="AG20" s="560">
        <v>446.7</v>
      </c>
      <c r="AH20" s="560">
        <v>452.6</v>
      </c>
      <c r="AI20" s="560">
        <v>472.3</v>
      </c>
      <c r="AJ20" s="560">
        <v>484.2</v>
      </c>
      <c r="AK20" s="560">
        <v>496.2</v>
      </c>
      <c r="AL20" s="560">
        <v>501.8</v>
      </c>
      <c r="AM20" s="560">
        <v>516.5</v>
      </c>
      <c r="AN20" s="560">
        <v>533.1</v>
      </c>
      <c r="AO20" s="560">
        <v>547.79999999999995</v>
      </c>
      <c r="AP20" s="560">
        <v>568.79999999999995</v>
      </c>
      <c r="AQ20" s="560">
        <v>588.5</v>
      </c>
      <c r="AR20" s="560">
        <v>592.20000000000005</v>
      </c>
      <c r="AS20" s="560">
        <v>608.9</v>
      </c>
      <c r="AT20" s="560">
        <v>633.4</v>
      </c>
      <c r="AU20" s="560">
        <v>648.70000000000005</v>
      </c>
      <c r="AV20" s="560">
        <v>657.8</v>
      </c>
      <c r="AW20" s="560">
        <v>677.7</v>
      </c>
      <c r="AX20" s="560">
        <v>688.1</v>
      </c>
      <c r="AY20" s="560">
        <v>703.1</v>
      </c>
      <c r="AZ20" s="560">
        <v>717.3</v>
      </c>
      <c r="BA20" s="560">
        <v>737.4</v>
      </c>
      <c r="BB20" s="560">
        <v>747.9</v>
      </c>
      <c r="BC20" s="560">
        <v>761.1</v>
      </c>
      <c r="BD20" s="560">
        <v>782.2</v>
      </c>
      <c r="BE20" s="560">
        <v>775.1</v>
      </c>
      <c r="BF20" s="560">
        <v>794</v>
      </c>
      <c r="BG20" s="560">
        <v>819.1</v>
      </c>
      <c r="BH20" s="560">
        <v>835.7</v>
      </c>
      <c r="BI20" s="560">
        <v>862.8</v>
      </c>
      <c r="BJ20" s="560">
        <v>875.6</v>
      </c>
      <c r="BK20" s="560">
        <v>900.5</v>
      </c>
      <c r="BL20" s="560">
        <v>927.4</v>
      </c>
      <c r="BM20" s="560">
        <v>938.6</v>
      </c>
      <c r="BN20" s="560">
        <v>946.8</v>
      </c>
      <c r="BO20" s="560">
        <v>967.5</v>
      </c>
      <c r="BP20" s="560">
        <v>993.6</v>
      </c>
      <c r="BQ20" s="560">
        <v>996.4</v>
      </c>
      <c r="BR20" s="560">
        <v>1008.7</v>
      </c>
      <c r="BS20" s="560">
        <v>1025.2</v>
      </c>
      <c r="BT20" s="560">
        <v>1036.2</v>
      </c>
      <c r="BU20" s="560">
        <v>1056</v>
      </c>
      <c r="BV20" s="560">
        <v>1056.9000000000001</v>
      </c>
      <c r="BW20" s="560">
        <v>1070.4000000000001</v>
      </c>
      <c r="BX20" s="560">
        <v>1078.2</v>
      </c>
      <c r="BY20" s="560">
        <v>1109.9000000000001</v>
      </c>
      <c r="BZ20" s="560">
        <v>1116.5999999999999</v>
      </c>
      <c r="CA20" s="560">
        <v>1145.8</v>
      </c>
      <c r="CB20" s="560">
        <v>1164.5999999999999</v>
      </c>
      <c r="CC20" s="560">
        <v>1180.5</v>
      </c>
      <c r="CD20" s="560">
        <v>1212.5</v>
      </c>
      <c r="CE20" s="560">
        <v>1230.7</v>
      </c>
      <c r="CF20" s="560">
        <v>1242.5999999999999</v>
      </c>
      <c r="CG20" s="560">
        <v>1268.5</v>
      </c>
      <c r="CH20" s="560">
        <v>1284.2</v>
      </c>
      <c r="CI20" s="560">
        <v>1296.5999999999999</v>
      </c>
      <c r="CJ20" s="560">
        <v>1306.3</v>
      </c>
      <c r="CK20" s="560">
        <v>1308.8</v>
      </c>
      <c r="CL20" s="560">
        <v>1326.4</v>
      </c>
      <c r="CM20" s="560">
        <v>1334.8</v>
      </c>
      <c r="CN20" s="560">
        <v>1354</v>
      </c>
      <c r="CO20" s="560">
        <v>1362.8</v>
      </c>
      <c r="CP20" s="560">
        <v>1351.8</v>
      </c>
      <c r="CQ20" s="560">
        <v>1359.1</v>
      </c>
      <c r="CR20" s="560">
        <v>1367.4</v>
      </c>
      <c r="CS20" s="560">
        <v>1381.4</v>
      </c>
      <c r="CT20" s="560">
        <v>1373.4</v>
      </c>
      <c r="CU20" s="560">
        <v>1389.4</v>
      </c>
      <c r="CV20" s="560">
        <v>1423.4</v>
      </c>
      <c r="CW20" s="560">
        <v>1422.9</v>
      </c>
      <c r="CX20" s="560">
        <v>1437.6</v>
      </c>
      <c r="CY20" s="560">
        <v>1452.9</v>
      </c>
      <c r="CZ20" s="560">
        <v>1455.7</v>
      </c>
      <c r="DA20" s="560">
        <v>1451.6</v>
      </c>
      <c r="DB20" s="560">
        <v>1471.3</v>
      </c>
      <c r="DC20" s="560">
        <v>1487.7</v>
      </c>
      <c r="DD20" s="560">
        <v>1496.7</v>
      </c>
      <c r="DE20" s="560">
        <v>1515.7</v>
      </c>
      <c r="DF20" s="560">
        <v>1516</v>
      </c>
      <c r="DG20" s="560">
        <v>1542.5</v>
      </c>
      <c r="DH20" s="560">
        <v>1555.2</v>
      </c>
      <c r="DI20" s="560">
        <v>1574.8</v>
      </c>
      <c r="DJ20" s="560">
        <v>1568</v>
      </c>
      <c r="DK20" s="560">
        <v>1603.7</v>
      </c>
      <c r="DL20" s="560">
        <v>1627.3</v>
      </c>
      <c r="DM20" s="560">
        <v>1647.5</v>
      </c>
      <c r="DN20" s="560">
        <v>1669.1</v>
      </c>
      <c r="DO20" s="560">
        <v>1694.8</v>
      </c>
      <c r="DP20" s="560">
        <v>1734</v>
      </c>
      <c r="DQ20" s="560">
        <v>1781.7</v>
      </c>
      <c r="DR20" s="560">
        <v>1789.9</v>
      </c>
      <c r="DS20" s="560">
        <v>1822.5</v>
      </c>
      <c r="DT20" s="560">
        <v>1832.1</v>
      </c>
      <c r="DU20" s="560">
        <v>1861.3</v>
      </c>
      <c r="DV20" s="560">
        <v>1906.3</v>
      </c>
      <c r="DW20" s="560">
        <v>1947.7</v>
      </c>
      <c r="DX20" s="560">
        <v>1953.4</v>
      </c>
      <c r="DY20" s="560">
        <v>1992.7</v>
      </c>
      <c r="DZ20" s="560">
        <v>2040</v>
      </c>
      <c r="EA20" s="560">
        <v>2074.5</v>
      </c>
      <c r="EB20" s="560">
        <v>2101.3000000000002</v>
      </c>
      <c r="EC20" s="560">
        <v>2142.1999999999998</v>
      </c>
      <c r="ED20" s="560">
        <v>2172</v>
      </c>
      <c r="EE20" s="560">
        <v>2198.8000000000002</v>
      </c>
      <c r="EF20" s="560">
        <v>2220.4</v>
      </c>
      <c r="EG20" s="560">
        <v>2251.1999999999998</v>
      </c>
      <c r="EH20" s="560">
        <v>2286.6</v>
      </c>
      <c r="EI20" s="560">
        <v>2320.6999999999998</v>
      </c>
      <c r="EJ20" s="560">
        <v>2356.4</v>
      </c>
      <c r="EK20" s="560">
        <v>2388.8000000000002</v>
      </c>
      <c r="EL20" s="560">
        <v>2426.1</v>
      </c>
      <c r="EM20" s="560">
        <v>2452.1999999999998</v>
      </c>
      <c r="EN20" s="560">
        <v>2494.4</v>
      </c>
      <c r="EO20" s="560">
        <v>2528.4</v>
      </c>
      <c r="EP20" s="560">
        <v>2580.1</v>
      </c>
      <c r="EQ20" s="560">
        <v>2610.6</v>
      </c>
      <c r="ER20" s="560">
        <v>2630.3</v>
      </c>
      <c r="ES20" s="560">
        <v>2674.5</v>
      </c>
      <c r="ET20" s="560">
        <v>2718.5</v>
      </c>
      <c r="EU20" s="560">
        <v>2770</v>
      </c>
      <c r="EV20" s="560">
        <v>2808.7</v>
      </c>
      <c r="EW20" s="560">
        <v>2865.1</v>
      </c>
      <c r="EX20" s="560">
        <v>2909.6</v>
      </c>
      <c r="EY20" s="560">
        <v>2971.6</v>
      </c>
      <c r="EZ20" s="560">
        <v>3029</v>
      </c>
      <c r="FA20" s="560">
        <v>3021.8</v>
      </c>
      <c r="FB20" s="560">
        <v>3022</v>
      </c>
      <c r="FC20" s="560">
        <v>3070.5</v>
      </c>
      <c r="FD20" s="560">
        <v>3092.1</v>
      </c>
      <c r="FE20" s="560">
        <v>3120.8</v>
      </c>
      <c r="FF20" s="560">
        <v>3133.8</v>
      </c>
      <c r="FG20" s="560">
        <v>3165.8</v>
      </c>
      <c r="FH20" s="560">
        <v>3158.3</v>
      </c>
      <c r="FI20" s="560">
        <v>3164.3</v>
      </c>
      <c r="FJ20" s="560">
        <v>3155.8</v>
      </c>
      <c r="FK20" s="560">
        <v>3168.3</v>
      </c>
      <c r="FL20" s="560">
        <v>3136.9</v>
      </c>
      <c r="FM20" s="560">
        <v>3130.8</v>
      </c>
      <c r="FN20" s="560">
        <v>3144</v>
      </c>
      <c r="FO20" s="560">
        <v>3130.5</v>
      </c>
      <c r="FP20" s="560">
        <v>3139.1</v>
      </c>
      <c r="FQ20" s="560">
        <v>3132.3</v>
      </c>
      <c r="FR20" s="560">
        <v>3125.4</v>
      </c>
      <c r="FS20" s="560">
        <v>3132.6</v>
      </c>
      <c r="FT20" s="560">
        <v>3134.8</v>
      </c>
      <c r="FU20" s="560">
        <v>3139.3</v>
      </c>
      <c r="FV20" s="560">
        <v>3138.2</v>
      </c>
      <c r="FW20" s="560">
        <v>3154.1</v>
      </c>
      <c r="FX20" s="560">
        <v>3191.8</v>
      </c>
      <c r="FY20" s="560">
        <v>3191.2</v>
      </c>
      <c r="FZ20" s="560">
        <v>3189.3</v>
      </c>
      <c r="GA20" s="560">
        <v>3232</v>
      </c>
      <c r="GB20" s="560">
        <v>3250.6</v>
      </c>
      <c r="GC20" s="560">
        <v>3254.5</v>
      </c>
      <c r="GD20" s="560">
        <v>3270.2</v>
      </c>
      <c r="GE20" s="560">
        <v>3287.4</v>
      </c>
      <c r="GF20" s="560">
        <v>3315.8</v>
      </c>
      <c r="GG20" s="560">
        <v>3338.8</v>
      </c>
      <c r="GH20" s="560">
        <v>3357.3</v>
      </c>
      <c r="GI20" s="560">
        <v>3378.2</v>
      </c>
      <c r="GJ20" s="560">
        <v>3400.8</v>
      </c>
      <c r="GK20" s="560">
        <v>3459.9</v>
      </c>
      <c r="GL20" s="560">
        <v>3505.5</v>
      </c>
      <c r="GM20" s="560">
        <v>3564.3</v>
      </c>
      <c r="GN20" s="560">
        <v>3600.9</v>
      </c>
      <c r="GO20" s="560">
        <v>3617.4</v>
      </c>
      <c r="GP20" s="560">
        <v>3650.5</v>
      </c>
      <c r="GQ20" s="560">
        <v>3702.9</v>
      </c>
      <c r="GR20" s="560">
        <v>3731.3</v>
      </c>
      <c r="GS20" s="560">
        <v>3771</v>
      </c>
      <c r="GT20" s="560">
        <v>3831.6</v>
      </c>
      <c r="GU20" s="560">
        <v>3859.6</v>
      </c>
      <c r="GV20" s="560">
        <v>3861.7</v>
      </c>
      <c r="GW20" s="560">
        <v>3885.3</v>
      </c>
      <c r="GX20" s="560">
        <v>3977.3</v>
      </c>
      <c r="GY20" s="560">
        <v>4016</v>
      </c>
    </row>
    <row r="21" spans="1:207">
      <c r="A21" s="560" t="s">
        <v>218</v>
      </c>
      <c r="B21" s="560">
        <v>46.2</v>
      </c>
      <c r="C21" s="560">
        <v>46.5</v>
      </c>
      <c r="D21" s="560">
        <v>46.9</v>
      </c>
      <c r="E21" s="560">
        <v>46.7</v>
      </c>
      <c r="F21" s="560">
        <v>50.8</v>
      </c>
      <c r="G21" s="560">
        <v>51.4</v>
      </c>
      <c r="H21" s="560">
        <v>51.6</v>
      </c>
      <c r="I21" s="560">
        <v>52.2</v>
      </c>
      <c r="J21" s="560">
        <v>58.5</v>
      </c>
      <c r="K21" s="560">
        <v>59.2</v>
      </c>
      <c r="L21" s="560">
        <v>59.9</v>
      </c>
      <c r="M21" s="560">
        <v>60.8</v>
      </c>
      <c r="N21" s="560">
        <v>74.099999999999994</v>
      </c>
      <c r="O21" s="560">
        <v>75.3</v>
      </c>
      <c r="P21" s="560">
        <v>76.599999999999994</v>
      </c>
      <c r="Q21" s="560">
        <v>78.099999999999994</v>
      </c>
      <c r="R21" s="560">
        <v>83.7</v>
      </c>
      <c r="S21" s="560">
        <v>85.3</v>
      </c>
      <c r="T21" s="560">
        <v>86.9</v>
      </c>
      <c r="U21" s="560">
        <v>87.1</v>
      </c>
      <c r="V21" s="560">
        <v>88.2</v>
      </c>
      <c r="W21" s="560">
        <v>88.6</v>
      </c>
      <c r="X21" s="560">
        <v>90.3</v>
      </c>
      <c r="Y21" s="560">
        <v>92.4</v>
      </c>
      <c r="Z21" s="560">
        <v>99.6</v>
      </c>
      <c r="AA21" s="560">
        <v>101.1</v>
      </c>
      <c r="AB21" s="560">
        <v>102.8</v>
      </c>
      <c r="AC21" s="560">
        <v>104.4</v>
      </c>
      <c r="AD21" s="560">
        <v>110</v>
      </c>
      <c r="AE21" s="560">
        <v>112.8</v>
      </c>
      <c r="AF21" s="560">
        <v>115.1</v>
      </c>
      <c r="AG21" s="560">
        <v>117.5</v>
      </c>
      <c r="AH21" s="560">
        <v>124.7</v>
      </c>
      <c r="AI21" s="560">
        <v>129.9</v>
      </c>
      <c r="AJ21" s="560">
        <v>134.19999999999999</v>
      </c>
      <c r="AK21" s="560">
        <v>139.6</v>
      </c>
      <c r="AL21" s="560">
        <v>146.9</v>
      </c>
      <c r="AM21" s="560">
        <v>151.19999999999999</v>
      </c>
      <c r="AN21" s="560">
        <v>156.30000000000001</v>
      </c>
      <c r="AO21" s="560">
        <v>160.30000000000001</v>
      </c>
      <c r="AP21" s="560">
        <v>162.9</v>
      </c>
      <c r="AQ21" s="560">
        <v>163.9</v>
      </c>
      <c r="AR21" s="560">
        <v>168</v>
      </c>
      <c r="AS21" s="560">
        <v>174</v>
      </c>
      <c r="AT21" s="560">
        <v>191</v>
      </c>
      <c r="AU21" s="560">
        <v>194.8</v>
      </c>
      <c r="AV21" s="560">
        <v>199.5</v>
      </c>
      <c r="AW21" s="560">
        <v>202.2</v>
      </c>
      <c r="AX21" s="560">
        <v>207.2</v>
      </c>
      <c r="AY21" s="560">
        <v>209.2</v>
      </c>
      <c r="AZ21" s="560">
        <v>211.5</v>
      </c>
      <c r="BA21" s="560">
        <v>212.4</v>
      </c>
      <c r="BB21" s="560">
        <v>220.2</v>
      </c>
      <c r="BC21" s="560">
        <v>224.2</v>
      </c>
      <c r="BD21" s="560">
        <v>228.9</v>
      </c>
      <c r="BE21" s="560">
        <v>235.5</v>
      </c>
      <c r="BF21" s="560">
        <v>250.8</v>
      </c>
      <c r="BG21" s="560">
        <v>256.8</v>
      </c>
      <c r="BH21" s="560">
        <v>261.8</v>
      </c>
      <c r="BI21" s="560">
        <v>265.8</v>
      </c>
      <c r="BJ21" s="560">
        <v>275.7</v>
      </c>
      <c r="BK21" s="560">
        <v>279.8</v>
      </c>
      <c r="BL21" s="560">
        <v>284.60000000000002</v>
      </c>
      <c r="BM21" s="560">
        <v>291.10000000000002</v>
      </c>
      <c r="BN21" s="560">
        <v>298.2</v>
      </c>
      <c r="BO21" s="560">
        <v>301.89999999999998</v>
      </c>
      <c r="BP21" s="560">
        <v>306.89999999999998</v>
      </c>
      <c r="BQ21" s="560">
        <v>312.60000000000002</v>
      </c>
      <c r="BR21" s="560">
        <v>317.39999999999998</v>
      </c>
      <c r="BS21" s="560">
        <v>321.5</v>
      </c>
      <c r="BT21" s="560">
        <v>326.3</v>
      </c>
      <c r="BU21" s="560">
        <v>333.3</v>
      </c>
      <c r="BV21" s="560">
        <v>352.7</v>
      </c>
      <c r="BW21" s="560">
        <v>360</v>
      </c>
      <c r="BX21" s="560">
        <v>366.2</v>
      </c>
      <c r="BY21" s="560">
        <v>373.7</v>
      </c>
      <c r="BZ21" s="560">
        <v>379.7</v>
      </c>
      <c r="CA21" s="560">
        <v>384.3</v>
      </c>
      <c r="CB21" s="560">
        <v>388.9</v>
      </c>
      <c r="CC21" s="560">
        <v>394.9</v>
      </c>
      <c r="CD21" s="560">
        <v>403.5</v>
      </c>
      <c r="CE21" s="560">
        <v>408.8</v>
      </c>
      <c r="CF21" s="560">
        <v>416.6</v>
      </c>
      <c r="CG21" s="560">
        <v>419.4</v>
      </c>
      <c r="CH21" s="560">
        <v>423</v>
      </c>
      <c r="CI21" s="560">
        <v>429.7</v>
      </c>
      <c r="CJ21" s="560">
        <v>435.6</v>
      </c>
      <c r="CK21" s="560">
        <v>440.6</v>
      </c>
      <c r="CL21" s="560">
        <v>452.5</v>
      </c>
      <c r="CM21" s="560">
        <v>458.1</v>
      </c>
      <c r="CN21" s="560">
        <v>461.2</v>
      </c>
      <c r="CO21" s="560">
        <v>456.5</v>
      </c>
      <c r="CP21" s="560">
        <v>475.9</v>
      </c>
      <c r="CQ21" s="560">
        <v>476.4</v>
      </c>
      <c r="CR21" s="560">
        <v>481</v>
      </c>
      <c r="CS21" s="560">
        <v>485.2</v>
      </c>
      <c r="CT21" s="560">
        <v>500.4</v>
      </c>
      <c r="CU21" s="560">
        <v>507.6</v>
      </c>
      <c r="CV21" s="560">
        <v>513.6</v>
      </c>
      <c r="CW21" s="560">
        <v>521.1</v>
      </c>
      <c r="CX21" s="560">
        <v>528.20000000000005</v>
      </c>
      <c r="CY21" s="560">
        <v>532.70000000000005</v>
      </c>
      <c r="CZ21" s="560">
        <v>538.1</v>
      </c>
      <c r="DA21" s="560">
        <v>543.1</v>
      </c>
      <c r="DB21" s="560">
        <v>545.9</v>
      </c>
      <c r="DC21" s="560">
        <v>554.4</v>
      </c>
      <c r="DD21" s="560">
        <v>561.79999999999995</v>
      </c>
      <c r="DE21" s="560">
        <v>569.4</v>
      </c>
      <c r="DF21" s="560">
        <v>577.29999999999995</v>
      </c>
      <c r="DG21" s="560">
        <v>584.9</v>
      </c>
      <c r="DH21" s="560">
        <v>593.6</v>
      </c>
      <c r="DI21" s="560">
        <v>605.29999999999995</v>
      </c>
      <c r="DJ21" s="560">
        <v>613.29999999999995</v>
      </c>
      <c r="DK21" s="560">
        <v>622.79999999999995</v>
      </c>
      <c r="DL21" s="560">
        <v>632.6</v>
      </c>
      <c r="DM21" s="560">
        <v>642.4</v>
      </c>
      <c r="DN21" s="560">
        <v>653.29999999999995</v>
      </c>
      <c r="DO21" s="560">
        <v>659</v>
      </c>
      <c r="DP21" s="560">
        <v>666.4</v>
      </c>
      <c r="DQ21" s="560">
        <v>679.6</v>
      </c>
      <c r="DR21" s="560">
        <v>699.5</v>
      </c>
      <c r="DS21" s="560">
        <v>701.9</v>
      </c>
      <c r="DT21" s="560">
        <v>715.2</v>
      </c>
      <c r="DU21" s="560">
        <v>721</v>
      </c>
      <c r="DV21" s="560">
        <v>736.1</v>
      </c>
      <c r="DW21" s="560">
        <v>736.9</v>
      </c>
      <c r="DX21" s="560">
        <v>736.1</v>
      </c>
      <c r="DY21" s="560">
        <v>738.7</v>
      </c>
      <c r="DZ21" s="560">
        <v>746.9</v>
      </c>
      <c r="EA21" s="560">
        <v>755.3</v>
      </c>
      <c r="EB21" s="560">
        <v>758.1</v>
      </c>
      <c r="EC21" s="560">
        <v>760.8</v>
      </c>
      <c r="ED21" s="560">
        <v>767.1</v>
      </c>
      <c r="EE21" s="560">
        <v>777.8</v>
      </c>
      <c r="EF21" s="560">
        <v>787.7</v>
      </c>
      <c r="EG21" s="560">
        <v>800.1</v>
      </c>
      <c r="EH21" s="560">
        <v>813.4</v>
      </c>
      <c r="EI21" s="560">
        <v>828</v>
      </c>
      <c r="EJ21" s="560">
        <v>843.7</v>
      </c>
      <c r="EK21" s="560">
        <v>849.5</v>
      </c>
      <c r="EL21" s="560">
        <v>862.7</v>
      </c>
      <c r="EM21" s="560">
        <v>871</v>
      </c>
      <c r="EN21" s="560">
        <v>884.2</v>
      </c>
      <c r="EO21" s="560">
        <v>894.1</v>
      </c>
      <c r="EP21" s="560">
        <v>917.9</v>
      </c>
      <c r="EQ21" s="560">
        <v>922.7</v>
      </c>
      <c r="ER21" s="560">
        <v>927.2</v>
      </c>
      <c r="ES21" s="560">
        <v>940.8</v>
      </c>
      <c r="ET21" s="560">
        <v>960.4</v>
      </c>
      <c r="EU21" s="560">
        <v>962</v>
      </c>
      <c r="EV21" s="560">
        <v>965.3</v>
      </c>
      <c r="EW21" s="560">
        <v>976.9</v>
      </c>
      <c r="EX21" s="560">
        <v>988.8</v>
      </c>
      <c r="EY21" s="560">
        <v>991</v>
      </c>
      <c r="EZ21" s="560">
        <v>996.4</v>
      </c>
      <c r="FA21" s="560">
        <v>996.6</v>
      </c>
      <c r="FB21" s="560">
        <v>964.7</v>
      </c>
      <c r="FC21" s="560">
        <v>971.2</v>
      </c>
      <c r="FD21" s="560">
        <v>968.8</v>
      </c>
      <c r="FE21" s="560">
        <v>972.2</v>
      </c>
      <c r="FF21" s="560">
        <v>978.6</v>
      </c>
      <c r="FG21" s="560">
        <v>989.5</v>
      </c>
      <c r="FH21" s="560">
        <v>992.3</v>
      </c>
      <c r="FI21" s="560">
        <v>994.3</v>
      </c>
      <c r="FJ21" s="560">
        <v>916.2</v>
      </c>
      <c r="FK21" s="560">
        <v>918.9</v>
      </c>
      <c r="FL21" s="560">
        <v>927.3</v>
      </c>
      <c r="FM21" s="560">
        <v>921.9</v>
      </c>
      <c r="FN21" s="560">
        <v>944.9</v>
      </c>
      <c r="FO21" s="560">
        <v>949.4</v>
      </c>
      <c r="FP21" s="560">
        <v>952.3</v>
      </c>
      <c r="FQ21" s="560">
        <v>974.1</v>
      </c>
      <c r="FR21" s="560">
        <v>1095.9000000000001</v>
      </c>
      <c r="FS21" s="560">
        <v>1108.2</v>
      </c>
      <c r="FT21" s="560">
        <v>1111.4000000000001</v>
      </c>
      <c r="FU21" s="560">
        <v>1122.3</v>
      </c>
      <c r="FV21" s="560">
        <v>1145</v>
      </c>
      <c r="FW21" s="560">
        <v>1149.7</v>
      </c>
      <c r="FX21" s="560">
        <v>1161.4000000000001</v>
      </c>
      <c r="FY21" s="560">
        <v>1179.0999999999999</v>
      </c>
      <c r="FZ21" s="560">
        <v>1194.2</v>
      </c>
      <c r="GA21" s="560">
        <v>1206.0999999999999</v>
      </c>
      <c r="GB21" s="560">
        <v>1216.0999999999999</v>
      </c>
      <c r="GC21" s="560">
        <v>1223.5999999999999</v>
      </c>
      <c r="GD21" s="560">
        <v>1230.8</v>
      </c>
      <c r="GE21" s="560">
        <v>1237</v>
      </c>
      <c r="GF21" s="560">
        <v>1248.0999999999999</v>
      </c>
      <c r="GG21" s="560">
        <v>1261.5</v>
      </c>
      <c r="GH21" s="560">
        <v>1282.4000000000001</v>
      </c>
      <c r="GI21" s="560">
        <v>1294.8</v>
      </c>
      <c r="GJ21" s="560">
        <v>1310</v>
      </c>
      <c r="GK21" s="560">
        <v>1328.9</v>
      </c>
      <c r="GL21" s="560">
        <v>1348.7</v>
      </c>
      <c r="GM21" s="560">
        <v>1358.3</v>
      </c>
      <c r="GN21" s="560">
        <v>1374.5</v>
      </c>
      <c r="GO21" s="560">
        <v>1381.9</v>
      </c>
      <c r="GP21" s="560">
        <v>1413</v>
      </c>
      <c r="GQ21" s="560">
        <v>1419.8</v>
      </c>
      <c r="GR21" s="560">
        <v>1427.2</v>
      </c>
      <c r="GS21" s="560">
        <v>1446.5</v>
      </c>
      <c r="GT21" s="560">
        <v>1477.2</v>
      </c>
      <c r="GU21" s="560">
        <v>1410.8</v>
      </c>
      <c r="GV21" s="560">
        <v>1463.7</v>
      </c>
      <c r="GW21" s="560">
        <v>1506.5</v>
      </c>
      <c r="GX21" s="560">
        <v>1539.2</v>
      </c>
      <c r="GY21" s="560">
        <v>1564</v>
      </c>
    </row>
    <row r="22" spans="1:207">
      <c r="A22" s="560" t="s">
        <v>219</v>
      </c>
      <c r="B22" s="560">
        <v>20.568999999999999</v>
      </c>
      <c r="C22" s="560">
        <v>20.797000000000001</v>
      </c>
      <c r="D22" s="560">
        <v>20.998999999999999</v>
      </c>
      <c r="E22" s="560">
        <v>21.271000000000001</v>
      </c>
      <c r="F22" s="560">
        <v>21.472000000000001</v>
      </c>
      <c r="G22" s="560">
        <v>21.716000000000001</v>
      </c>
      <c r="H22" s="560">
        <v>21.928999999999998</v>
      </c>
      <c r="I22" s="560">
        <v>22.064</v>
      </c>
      <c r="J22" s="560">
        <v>22.295999999999999</v>
      </c>
      <c r="K22" s="560">
        <v>22.425000000000001</v>
      </c>
      <c r="L22" s="560">
        <v>22.622</v>
      </c>
      <c r="M22" s="560">
        <v>22.806999999999999</v>
      </c>
      <c r="N22" s="560">
        <v>23.084</v>
      </c>
      <c r="O22" s="560">
        <v>23.529</v>
      </c>
      <c r="P22" s="560">
        <v>23.957999999999998</v>
      </c>
      <c r="Q22" s="560">
        <v>24.45</v>
      </c>
      <c r="R22" s="560">
        <v>25.178000000000001</v>
      </c>
      <c r="S22" s="560">
        <v>25.890999999999998</v>
      </c>
      <c r="T22" s="560">
        <v>26.588999999999999</v>
      </c>
      <c r="U22" s="560">
        <v>27.262</v>
      </c>
      <c r="V22" s="560">
        <v>27.771000000000001</v>
      </c>
      <c r="W22" s="560">
        <v>28.109000000000002</v>
      </c>
      <c r="X22" s="560">
        <v>28.634</v>
      </c>
      <c r="Y22" s="560">
        <v>29.114999999999998</v>
      </c>
      <c r="Z22" s="560">
        <v>29.437000000000001</v>
      </c>
      <c r="AA22" s="560">
        <v>29.684999999999999</v>
      </c>
      <c r="AB22" s="560">
        <v>30.137</v>
      </c>
      <c r="AC22" s="560">
        <v>30.614000000000001</v>
      </c>
      <c r="AD22" s="560">
        <v>31.164999999999999</v>
      </c>
      <c r="AE22" s="560">
        <v>31.698</v>
      </c>
      <c r="AF22" s="560">
        <v>32.173999999999999</v>
      </c>
      <c r="AG22" s="560">
        <v>32.631</v>
      </c>
      <c r="AH22" s="560">
        <v>33.164999999999999</v>
      </c>
      <c r="AI22" s="560">
        <v>33.845999999999997</v>
      </c>
      <c r="AJ22" s="560">
        <v>34.441000000000003</v>
      </c>
      <c r="AK22" s="560">
        <v>35.091999999999999</v>
      </c>
      <c r="AL22" s="560">
        <v>35.755000000000003</v>
      </c>
      <c r="AM22" s="560">
        <v>36.732999999999997</v>
      </c>
      <c r="AN22" s="560">
        <v>37.646000000000001</v>
      </c>
      <c r="AO22" s="560">
        <v>38.558</v>
      </c>
      <c r="AP22" s="560">
        <v>39.716000000000001</v>
      </c>
      <c r="AQ22" s="560">
        <v>40.689</v>
      </c>
      <c r="AR22" s="560">
        <v>41.640999999999998</v>
      </c>
      <c r="AS22" s="560">
        <v>42.673000000000002</v>
      </c>
      <c r="AT22" s="560">
        <v>43.780999999999999</v>
      </c>
      <c r="AU22" s="560">
        <v>44.515000000000001</v>
      </c>
      <c r="AV22" s="560">
        <v>45.247999999999998</v>
      </c>
      <c r="AW22" s="560">
        <v>45.94</v>
      </c>
      <c r="AX22" s="560">
        <v>46.521000000000001</v>
      </c>
      <c r="AY22" s="560">
        <v>46.966999999999999</v>
      </c>
      <c r="AZ22" s="560">
        <v>47.707000000000001</v>
      </c>
      <c r="BA22" s="560">
        <v>48.231999999999999</v>
      </c>
      <c r="BB22" s="560">
        <v>48.628999999999998</v>
      </c>
      <c r="BC22" s="560">
        <v>49.073</v>
      </c>
      <c r="BD22" s="560">
        <v>49.718000000000004</v>
      </c>
      <c r="BE22" s="560">
        <v>50.048000000000002</v>
      </c>
      <c r="BF22" s="560">
        <v>50.591999999999999</v>
      </c>
      <c r="BG22" s="560">
        <v>51.082999999999998</v>
      </c>
      <c r="BH22" s="560">
        <v>51.478000000000002</v>
      </c>
      <c r="BI22" s="560">
        <v>51.795999999999999</v>
      </c>
      <c r="BJ22" s="560">
        <v>52.405999999999999</v>
      </c>
      <c r="BK22" s="560">
        <v>52.831000000000003</v>
      </c>
      <c r="BL22" s="560">
        <v>53.244999999999997</v>
      </c>
      <c r="BM22" s="560">
        <v>53.618000000000002</v>
      </c>
      <c r="BN22" s="560">
        <v>53.999000000000002</v>
      </c>
      <c r="BO22" s="560">
        <v>53.942999999999998</v>
      </c>
      <c r="BP22" s="560">
        <v>54.228000000000002</v>
      </c>
      <c r="BQ22" s="560">
        <v>54.555</v>
      </c>
      <c r="BR22" s="560">
        <v>55.067999999999998</v>
      </c>
      <c r="BS22" s="560">
        <v>55.597999999999999</v>
      </c>
      <c r="BT22" s="560">
        <v>56.122999999999998</v>
      </c>
      <c r="BU22" s="560">
        <v>56.606999999999999</v>
      </c>
      <c r="BV22" s="560">
        <v>57.054000000000002</v>
      </c>
      <c r="BW22" s="560">
        <v>57.683999999999997</v>
      </c>
      <c r="BX22" s="560">
        <v>58.395000000000003</v>
      </c>
      <c r="BY22" s="560">
        <v>58.987000000000002</v>
      </c>
      <c r="BZ22" s="560">
        <v>59.664999999999999</v>
      </c>
      <c r="CA22" s="560">
        <v>60.47</v>
      </c>
      <c r="CB22" s="560">
        <v>60.828000000000003</v>
      </c>
      <c r="CC22" s="560">
        <v>61.308</v>
      </c>
      <c r="CD22" s="560">
        <v>62.198</v>
      </c>
      <c r="CE22" s="560">
        <v>62.764000000000003</v>
      </c>
      <c r="CF22" s="560">
        <v>63.561999999999998</v>
      </c>
      <c r="CG22" s="560">
        <v>64.402000000000001</v>
      </c>
      <c r="CH22" s="560">
        <v>64.739999999999995</v>
      </c>
      <c r="CI22" s="560">
        <v>65.091999999999999</v>
      </c>
      <c r="CJ22" s="560">
        <v>65.533000000000001</v>
      </c>
      <c r="CK22" s="560">
        <v>66.007999999999996</v>
      </c>
      <c r="CL22" s="560">
        <v>66.421000000000006</v>
      </c>
      <c r="CM22" s="560">
        <v>66.861999999999995</v>
      </c>
      <c r="CN22" s="560">
        <v>67.287999999999997</v>
      </c>
      <c r="CO22" s="560">
        <v>67.757000000000005</v>
      </c>
      <c r="CP22" s="560">
        <v>68.162000000000006</v>
      </c>
      <c r="CQ22" s="560">
        <v>68.62</v>
      </c>
      <c r="CR22" s="560">
        <v>68.918000000000006</v>
      </c>
      <c r="CS22" s="560">
        <v>69.314999999999998</v>
      </c>
      <c r="CT22" s="560">
        <v>69.563999999999993</v>
      </c>
      <c r="CU22" s="560">
        <v>69.951999999999998</v>
      </c>
      <c r="CV22" s="560">
        <v>70.453999999999994</v>
      </c>
      <c r="CW22" s="560">
        <v>70.784999999999997</v>
      </c>
      <c r="CX22" s="560">
        <v>71.132000000000005</v>
      </c>
      <c r="CY22" s="560">
        <v>71.546000000000006</v>
      </c>
      <c r="CZ22" s="560">
        <v>71.837999999999994</v>
      </c>
      <c r="DA22" s="560">
        <v>72.153999999999996</v>
      </c>
      <c r="DB22" s="560">
        <v>72.555000000000007</v>
      </c>
      <c r="DC22" s="560">
        <v>73.040000000000006</v>
      </c>
      <c r="DD22" s="560">
        <v>73.352000000000004</v>
      </c>
      <c r="DE22" s="560">
        <v>73.852000000000004</v>
      </c>
      <c r="DF22" s="560">
        <v>74.177999999999997</v>
      </c>
      <c r="DG22" s="560">
        <v>74.364999999999995</v>
      </c>
      <c r="DH22" s="560">
        <v>74.561000000000007</v>
      </c>
      <c r="DI22" s="560">
        <v>74.795000000000002</v>
      </c>
      <c r="DJ22" s="560">
        <v>74.801000000000002</v>
      </c>
      <c r="DK22" s="560">
        <v>74.936000000000007</v>
      </c>
      <c r="DL22" s="560">
        <v>75.167000000000002</v>
      </c>
      <c r="DM22" s="560">
        <v>75.364000000000004</v>
      </c>
      <c r="DN22" s="560">
        <v>75.510999999999996</v>
      </c>
      <c r="DO22" s="560">
        <v>75.938999999999993</v>
      </c>
      <c r="DP22" s="560">
        <v>76.356999999999999</v>
      </c>
      <c r="DQ22" s="560">
        <v>76.820999999999998</v>
      </c>
      <c r="DR22" s="560">
        <v>77.445999999999998</v>
      </c>
      <c r="DS22" s="560">
        <v>77.814999999999998</v>
      </c>
      <c r="DT22" s="560">
        <v>78.317999999999998</v>
      </c>
      <c r="DU22" s="560">
        <v>78.762</v>
      </c>
      <c r="DV22" s="560">
        <v>79.347999999999999</v>
      </c>
      <c r="DW22" s="560">
        <v>79.72</v>
      </c>
      <c r="DX22" s="560">
        <v>79.760000000000005</v>
      </c>
      <c r="DY22" s="560">
        <v>79.793000000000006</v>
      </c>
      <c r="DZ22" s="560">
        <v>79.951999999999998</v>
      </c>
      <c r="EA22" s="560">
        <v>80.543999999999997</v>
      </c>
      <c r="EB22" s="560">
        <v>80.960999999999999</v>
      </c>
      <c r="EC22" s="560">
        <v>81.337999999999994</v>
      </c>
      <c r="ED22" s="560">
        <v>81.96</v>
      </c>
      <c r="EE22" s="560">
        <v>82.042000000000002</v>
      </c>
      <c r="EF22" s="560">
        <v>82.581999999999994</v>
      </c>
      <c r="EG22" s="560">
        <v>82.986999999999995</v>
      </c>
      <c r="EH22" s="560">
        <v>83.626999999999995</v>
      </c>
      <c r="EI22" s="560">
        <v>84.188999999999993</v>
      </c>
      <c r="EJ22" s="560">
        <v>84.602999999999994</v>
      </c>
      <c r="EK22" s="560">
        <v>85.325999999999993</v>
      </c>
      <c r="EL22" s="560">
        <v>85.822000000000003</v>
      </c>
      <c r="EM22" s="560">
        <v>86.364000000000004</v>
      </c>
      <c r="EN22" s="560">
        <v>87.296999999999997</v>
      </c>
      <c r="EO22" s="560">
        <v>87.992999999999995</v>
      </c>
      <c r="EP22" s="560">
        <v>88.451999999999998</v>
      </c>
      <c r="EQ22" s="560">
        <v>89.228999999999999</v>
      </c>
      <c r="ER22" s="560">
        <v>89.870999999999995</v>
      </c>
      <c r="ES22" s="560">
        <v>89.722999999999999</v>
      </c>
      <c r="ET22" s="560">
        <v>90.542000000000002</v>
      </c>
      <c r="EU22" s="560">
        <v>91.31</v>
      </c>
      <c r="EV22" s="560">
        <v>91.826999999999998</v>
      </c>
      <c r="EW22" s="560">
        <v>92.762</v>
      </c>
      <c r="EX22" s="560">
        <v>93.518000000000001</v>
      </c>
      <c r="EY22" s="560">
        <v>94.43</v>
      </c>
      <c r="EZ22" s="560">
        <v>95.438000000000002</v>
      </c>
      <c r="FA22" s="560">
        <v>93.915000000000006</v>
      </c>
      <c r="FB22" s="560">
        <v>93.28</v>
      </c>
      <c r="FC22" s="560">
        <v>93.65</v>
      </c>
      <c r="FD22" s="560">
        <v>94.295000000000002</v>
      </c>
      <c r="FE22" s="560">
        <v>95.022000000000006</v>
      </c>
      <c r="FF22" s="560">
        <v>95.388999999999996</v>
      </c>
      <c r="FG22" s="560">
        <v>95.536000000000001</v>
      </c>
      <c r="FH22" s="560">
        <v>95.72</v>
      </c>
      <c r="FI22" s="560">
        <v>96.332999999999998</v>
      </c>
      <c r="FJ22" s="560">
        <v>97.143000000000001</v>
      </c>
      <c r="FK22" s="560">
        <v>98.099000000000004</v>
      </c>
      <c r="FL22" s="560">
        <v>98.552999999999997</v>
      </c>
      <c r="FM22" s="560">
        <v>98.878</v>
      </c>
      <c r="FN22" s="560">
        <v>99.533000000000001</v>
      </c>
      <c r="FO22" s="560">
        <v>99.774000000000001</v>
      </c>
      <c r="FP22" s="560">
        <v>100.06399999999999</v>
      </c>
      <c r="FQ22" s="560">
        <v>100.625</v>
      </c>
      <c r="FR22" s="560">
        <v>100.98699999999999</v>
      </c>
      <c r="FS22" s="560">
        <v>101.059</v>
      </c>
      <c r="FT22" s="560">
        <v>101.46899999999999</v>
      </c>
      <c r="FU22" s="560">
        <v>101.89400000000001</v>
      </c>
      <c r="FV22" s="560">
        <v>102.384</v>
      </c>
      <c r="FW22" s="560">
        <v>102.896</v>
      </c>
      <c r="FX22" s="560">
        <v>103.187</v>
      </c>
      <c r="FY22" s="560">
        <v>103.069</v>
      </c>
      <c r="FZ22" s="560">
        <v>102.64100000000001</v>
      </c>
      <c r="GA22" s="560">
        <v>103.139</v>
      </c>
      <c r="GB22" s="560">
        <v>103.389</v>
      </c>
      <c r="GC22" s="560">
        <v>103.286</v>
      </c>
      <c r="GD22" s="560">
        <v>103.34</v>
      </c>
      <c r="GE22" s="560">
        <v>103.989</v>
      </c>
      <c r="GF22" s="560">
        <v>104.379</v>
      </c>
      <c r="GG22" s="560">
        <v>104.872</v>
      </c>
      <c r="GH22" s="560">
        <v>105.449</v>
      </c>
      <c r="GI22" s="560">
        <v>105.747</v>
      </c>
      <c r="GJ22" s="560">
        <v>106.142</v>
      </c>
      <c r="GK22" s="560">
        <v>106.851</v>
      </c>
      <c r="GL22" s="560">
        <v>107.553</v>
      </c>
      <c r="GM22" s="560">
        <v>108.18</v>
      </c>
      <c r="GN22" s="560">
        <v>108.542</v>
      </c>
      <c r="GO22" s="560">
        <v>108.983</v>
      </c>
      <c r="GP22" s="560">
        <v>109.09699999999999</v>
      </c>
      <c r="GQ22" s="560">
        <v>109.833</v>
      </c>
      <c r="GR22" s="560">
        <v>110.136</v>
      </c>
      <c r="GS22" s="560">
        <v>110.604</v>
      </c>
      <c r="GT22" s="560">
        <v>110.946</v>
      </c>
      <c r="GU22" s="560">
        <v>110.491</v>
      </c>
      <c r="GV22" s="560">
        <v>111.49</v>
      </c>
      <c r="GW22" s="560">
        <v>111.91</v>
      </c>
      <c r="GX22" s="560">
        <v>112.97</v>
      </c>
      <c r="GY22" s="560">
        <v>114.756</v>
      </c>
    </row>
    <row r="23" spans="1:207">
      <c r="A23" s="560" t="s">
        <v>199</v>
      </c>
      <c r="B23" s="560">
        <v>133.6</v>
      </c>
      <c r="C23" s="560">
        <v>131.80000000000001</v>
      </c>
      <c r="D23" s="560">
        <v>132.4</v>
      </c>
      <c r="E23" s="560">
        <v>133.5</v>
      </c>
      <c r="F23" s="560">
        <v>133.30000000000001</v>
      </c>
      <c r="G23" s="560">
        <v>134.30000000000001</v>
      </c>
      <c r="H23" s="560">
        <v>135.6</v>
      </c>
      <c r="I23" s="560">
        <v>134.69999999999999</v>
      </c>
      <c r="J23" s="560">
        <v>141.4</v>
      </c>
      <c r="K23" s="560">
        <v>144.19999999999999</v>
      </c>
      <c r="L23" s="560">
        <v>138.80000000000001</v>
      </c>
      <c r="M23" s="560">
        <v>142.19999999999999</v>
      </c>
      <c r="N23" s="560">
        <v>146.4</v>
      </c>
      <c r="O23" s="560">
        <v>146.5</v>
      </c>
      <c r="P23" s="560">
        <v>144.19999999999999</v>
      </c>
      <c r="Q23" s="560">
        <v>147.6</v>
      </c>
      <c r="R23" s="560">
        <v>152.69999999999999</v>
      </c>
      <c r="S23" s="560">
        <v>154.9</v>
      </c>
      <c r="T23" s="560">
        <v>160.4</v>
      </c>
      <c r="U23" s="560">
        <v>167.4</v>
      </c>
      <c r="V23" s="560">
        <v>168.6</v>
      </c>
      <c r="W23" s="560">
        <v>169.4</v>
      </c>
      <c r="X23" s="560">
        <v>176.1</v>
      </c>
      <c r="Y23" s="560">
        <v>180.8</v>
      </c>
      <c r="Z23" s="560">
        <v>181.6</v>
      </c>
      <c r="AA23" s="560">
        <v>182.5</v>
      </c>
      <c r="AB23" s="560">
        <v>184.9</v>
      </c>
      <c r="AC23" s="560">
        <v>190.2</v>
      </c>
      <c r="AD23" s="560">
        <v>194.2</v>
      </c>
      <c r="AE23" s="560">
        <v>198.9</v>
      </c>
      <c r="AF23" s="560">
        <v>201.9</v>
      </c>
      <c r="AG23" s="560">
        <v>206.3</v>
      </c>
      <c r="AH23" s="560">
        <v>208.8</v>
      </c>
      <c r="AI23" s="560">
        <v>217</v>
      </c>
      <c r="AJ23" s="560">
        <v>222.1</v>
      </c>
      <c r="AK23" s="560">
        <v>227.8</v>
      </c>
      <c r="AL23" s="560">
        <v>231.7</v>
      </c>
      <c r="AM23" s="560">
        <v>237.6</v>
      </c>
      <c r="AN23" s="560">
        <v>243.7</v>
      </c>
      <c r="AO23" s="560">
        <v>249.3</v>
      </c>
      <c r="AP23" s="560">
        <v>261.10000000000002</v>
      </c>
      <c r="AQ23" s="560">
        <v>276.5</v>
      </c>
      <c r="AR23" s="560">
        <v>276.10000000000002</v>
      </c>
      <c r="AS23" s="560">
        <v>285.8</v>
      </c>
      <c r="AT23" s="560">
        <v>297.2</v>
      </c>
      <c r="AU23" s="560">
        <v>311.89999999999998</v>
      </c>
      <c r="AV23" s="560">
        <v>317.39999999999998</v>
      </c>
      <c r="AW23" s="560">
        <v>329.3</v>
      </c>
      <c r="AX23" s="560">
        <v>334.9</v>
      </c>
      <c r="AY23" s="560">
        <v>342.9</v>
      </c>
      <c r="AZ23" s="560">
        <v>351.5</v>
      </c>
      <c r="BA23" s="560">
        <v>364.1</v>
      </c>
      <c r="BB23" s="560">
        <v>370.5</v>
      </c>
      <c r="BC23" s="560">
        <v>380.3</v>
      </c>
      <c r="BD23" s="560">
        <v>394.4</v>
      </c>
      <c r="BE23" s="560">
        <v>384.2</v>
      </c>
      <c r="BF23" s="560">
        <v>392.4</v>
      </c>
      <c r="BG23" s="560">
        <v>408.3</v>
      </c>
      <c r="BH23" s="560">
        <v>414</v>
      </c>
      <c r="BI23" s="560">
        <v>432.5</v>
      </c>
      <c r="BJ23" s="560">
        <v>434.8</v>
      </c>
      <c r="BK23" s="560">
        <v>447.3</v>
      </c>
      <c r="BL23" s="560">
        <v>463.1</v>
      </c>
      <c r="BM23" s="560">
        <v>466.4</v>
      </c>
      <c r="BN23" s="560">
        <v>464</v>
      </c>
      <c r="BO23" s="560">
        <v>477.8</v>
      </c>
      <c r="BP23" s="560">
        <v>495.1</v>
      </c>
      <c r="BQ23" s="560">
        <v>489.8</v>
      </c>
      <c r="BR23" s="560">
        <v>492.1</v>
      </c>
      <c r="BS23" s="560">
        <v>501.2</v>
      </c>
      <c r="BT23" s="560">
        <v>504.1</v>
      </c>
      <c r="BU23" s="560">
        <v>513.70000000000005</v>
      </c>
      <c r="BV23" s="560">
        <v>505.8</v>
      </c>
      <c r="BW23" s="560">
        <v>506.9</v>
      </c>
      <c r="BX23" s="560">
        <v>507.4</v>
      </c>
      <c r="BY23" s="560">
        <v>525.6</v>
      </c>
      <c r="BZ23" s="560">
        <v>519.9</v>
      </c>
      <c r="CA23" s="560">
        <v>534.29999999999995</v>
      </c>
      <c r="CB23" s="560">
        <v>541.4</v>
      </c>
      <c r="CC23" s="560">
        <v>540.79999999999995</v>
      </c>
      <c r="CD23" s="560">
        <v>553.70000000000005</v>
      </c>
      <c r="CE23" s="560">
        <v>563.9</v>
      </c>
      <c r="CF23" s="560">
        <v>562.20000000000005</v>
      </c>
      <c r="CG23" s="560">
        <v>569.70000000000005</v>
      </c>
      <c r="CH23" s="560">
        <v>581.4</v>
      </c>
      <c r="CI23" s="560">
        <v>586.6</v>
      </c>
      <c r="CJ23" s="560">
        <v>586.29999999999995</v>
      </c>
      <c r="CK23" s="560">
        <v>577.4</v>
      </c>
      <c r="CL23" s="560">
        <v>580.29999999999995</v>
      </c>
      <c r="CM23" s="560">
        <v>580.9</v>
      </c>
      <c r="CN23" s="560">
        <v>594.20000000000005</v>
      </c>
      <c r="CO23" s="560">
        <v>598.4</v>
      </c>
      <c r="CP23" s="560">
        <v>580.29999999999995</v>
      </c>
      <c r="CQ23" s="560">
        <v>576.70000000000005</v>
      </c>
      <c r="CR23" s="560">
        <v>578.70000000000005</v>
      </c>
      <c r="CS23" s="560">
        <v>584.9</v>
      </c>
      <c r="CT23" s="560">
        <v>567</v>
      </c>
      <c r="CU23" s="560">
        <v>569.4</v>
      </c>
      <c r="CV23" s="560">
        <v>586.5</v>
      </c>
      <c r="CW23" s="560">
        <v>575.79999999999995</v>
      </c>
      <c r="CX23" s="560">
        <v>579.1</v>
      </c>
      <c r="CY23" s="560">
        <v>581</v>
      </c>
      <c r="CZ23" s="560">
        <v>579.29999999999995</v>
      </c>
      <c r="DA23" s="560">
        <v>567.29999999999995</v>
      </c>
      <c r="DB23" s="560">
        <v>579.79999999999995</v>
      </c>
      <c r="DC23" s="560">
        <v>582.1</v>
      </c>
      <c r="DD23" s="560">
        <v>577.79999999999995</v>
      </c>
      <c r="DE23" s="560">
        <v>576.9</v>
      </c>
      <c r="DF23" s="560">
        <v>570.70000000000005</v>
      </c>
      <c r="DG23" s="560">
        <v>587.20000000000005</v>
      </c>
      <c r="DH23" s="560">
        <v>586</v>
      </c>
      <c r="DI23" s="560">
        <v>589.20000000000005</v>
      </c>
      <c r="DJ23" s="560">
        <v>572.20000000000005</v>
      </c>
      <c r="DK23" s="560">
        <v>587.1</v>
      </c>
      <c r="DL23" s="560">
        <v>588.6</v>
      </c>
      <c r="DM23" s="560">
        <v>594.20000000000005</v>
      </c>
      <c r="DN23" s="560">
        <v>595.1</v>
      </c>
      <c r="DO23" s="560">
        <v>599.20000000000005</v>
      </c>
      <c r="DP23" s="560">
        <v>614.20000000000005</v>
      </c>
      <c r="DQ23" s="560">
        <v>634.29999999999995</v>
      </c>
      <c r="DR23" s="560">
        <v>619.4</v>
      </c>
      <c r="DS23" s="560">
        <v>641.20000000000005</v>
      </c>
      <c r="DT23" s="560">
        <v>633.6</v>
      </c>
      <c r="DU23" s="560">
        <v>638.20000000000005</v>
      </c>
      <c r="DV23" s="560">
        <v>653.29999999999995</v>
      </c>
      <c r="DW23" s="560">
        <v>666.2</v>
      </c>
      <c r="DX23" s="560">
        <v>674.4</v>
      </c>
      <c r="DY23" s="560">
        <v>686.9</v>
      </c>
      <c r="DZ23" s="560">
        <v>714</v>
      </c>
      <c r="EA23" s="560">
        <v>734.8</v>
      </c>
      <c r="EB23" s="560">
        <v>748.4</v>
      </c>
      <c r="EC23" s="560">
        <v>775.2</v>
      </c>
      <c r="ED23" s="560">
        <v>792.7</v>
      </c>
      <c r="EE23" s="560">
        <v>826</v>
      </c>
      <c r="EF23" s="560">
        <v>833.3</v>
      </c>
      <c r="EG23" s="560">
        <v>855.1</v>
      </c>
      <c r="EH23" s="560">
        <v>871.8</v>
      </c>
      <c r="EI23" s="560">
        <v>884.6</v>
      </c>
      <c r="EJ23" s="560">
        <v>902.5</v>
      </c>
      <c r="EK23" s="560">
        <v>909.6</v>
      </c>
      <c r="EL23" s="560">
        <v>931.8</v>
      </c>
      <c r="EM23" s="560">
        <v>939.3</v>
      </c>
      <c r="EN23" s="560">
        <v>956.4</v>
      </c>
      <c r="EO23" s="560">
        <v>963.7</v>
      </c>
      <c r="EP23" s="560">
        <v>997.1</v>
      </c>
      <c r="EQ23" s="560">
        <v>997.2</v>
      </c>
      <c r="ER23" s="560">
        <v>995.4</v>
      </c>
      <c r="ES23" s="560">
        <v>1015.1</v>
      </c>
      <c r="ET23" s="560">
        <v>1017.5</v>
      </c>
      <c r="EU23" s="560">
        <v>1042.5</v>
      </c>
      <c r="EV23" s="560">
        <v>1058.8</v>
      </c>
      <c r="EW23" s="560">
        <v>1085.3</v>
      </c>
      <c r="EX23" s="560">
        <v>1111.2</v>
      </c>
      <c r="EY23" s="560">
        <v>1146.5999999999999</v>
      </c>
      <c r="EZ23" s="560">
        <v>1170.2</v>
      </c>
      <c r="FA23" s="560">
        <v>1179.8</v>
      </c>
      <c r="FB23" s="560">
        <v>1185.2</v>
      </c>
      <c r="FC23" s="560">
        <v>1213.5</v>
      </c>
      <c r="FD23" s="560">
        <v>1228.3</v>
      </c>
      <c r="FE23" s="560">
        <v>1256.2</v>
      </c>
      <c r="FF23" s="560">
        <v>1278.4000000000001</v>
      </c>
      <c r="FG23" s="560">
        <v>1305.0999999999999</v>
      </c>
      <c r="FH23" s="560">
        <v>1304.3</v>
      </c>
      <c r="FI23" s="560">
        <v>1312.9</v>
      </c>
      <c r="FJ23" s="560">
        <v>1306</v>
      </c>
      <c r="FK23" s="560">
        <v>1312.7</v>
      </c>
      <c r="FL23" s="560">
        <v>1288.7</v>
      </c>
      <c r="FM23" s="560">
        <v>1291.7</v>
      </c>
      <c r="FN23" s="560">
        <v>1296.0999999999999</v>
      </c>
      <c r="FO23" s="560">
        <v>1288.5999999999999</v>
      </c>
      <c r="FP23" s="560">
        <v>1293.8</v>
      </c>
      <c r="FQ23" s="560">
        <v>1269.5</v>
      </c>
      <c r="FR23" s="560">
        <v>1240.5</v>
      </c>
      <c r="FS23" s="560">
        <v>1232.9000000000001</v>
      </c>
      <c r="FT23" s="560">
        <v>1219</v>
      </c>
      <c r="FU23" s="560">
        <v>1216.3</v>
      </c>
      <c r="FV23" s="560">
        <v>1211.8</v>
      </c>
      <c r="FW23" s="560">
        <v>1210</v>
      </c>
      <c r="FX23" s="560">
        <v>1229.3</v>
      </c>
      <c r="FY23" s="560">
        <v>1212.9000000000001</v>
      </c>
      <c r="FZ23" s="560">
        <v>1216</v>
      </c>
      <c r="GA23" s="560">
        <v>1220.5999999999999</v>
      </c>
      <c r="GB23" s="560">
        <v>1221.2</v>
      </c>
      <c r="GC23" s="560">
        <v>1229.3</v>
      </c>
      <c r="GD23" s="560">
        <v>1229.3</v>
      </c>
      <c r="GE23" s="560">
        <v>1225.8</v>
      </c>
      <c r="GF23" s="560">
        <v>1238.0999999999999</v>
      </c>
      <c r="GG23" s="560">
        <v>1244.8</v>
      </c>
      <c r="GH23" s="560">
        <v>1242.5</v>
      </c>
      <c r="GI23" s="560">
        <v>1257.5999999999999</v>
      </c>
      <c r="GJ23" s="560">
        <v>1263.3</v>
      </c>
      <c r="GK23" s="560">
        <v>1287.7</v>
      </c>
      <c r="GL23" s="560">
        <v>1305.8</v>
      </c>
      <c r="GM23" s="560">
        <v>1331.7</v>
      </c>
      <c r="GN23" s="560">
        <v>1350.8</v>
      </c>
      <c r="GO23" s="560">
        <v>1367.7</v>
      </c>
      <c r="GP23" s="560">
        <v>1387</v>
      </c>
      <c r="GQ23" s="560">
        <v>1406.9</v>
      </c>
      <c r="GR23" s="560">
        <v>1424.1</v>
      </c>
      <c r="GS23" s="560">
        <v>1441.7</v>
      </c>
      <c r="GT23" s="560">
        <v>1454.7</v>
      </c>
      <c r="GU23" s="560">
        <v>1525</v>
      </c>
      <c r="GV23" s="560">
        <v>1515.1</v>
      </c>
      <c r="GW23" s="560">
        <v>1512.3</v>
      </c>
      <c r="GX23" s="560">
        <v>1568.6</v>
      </c>
      <c r="GY23" s="560">
        <v>1563.3</v>
      </c>
    </row>
    <row r="24" spans="1:207">
      <c r="A24" s="560" t="s">
        <v>220</v>
      </c>
      <c r="B24" s="560">
        <v>114.3</v>
      </c>
      <c r="C24" s="560">
        <v>117.4</v>
      </c>
      <c r="D24" s="560">
        <v>122.2</v>
      </c>
      <c r="E24" s="560">
        <v>125.2</v>
      </c>
      <c r="F24" s="560">
        <v>128.6</v>
      </c>
      <c r="G24" s="560">
        <v>131.9</v>
      </c>
      <c r="H24" s="560">
        <v>134.19999999999999</v>
      </c>
      <c r="I24" s="560">
        <v>137.4</v>
      </c>
      <c r="J24" s="560">
        <v>140.80000000000001</v>
      </c>
      <c r="K24" s="560">
        <v>142.19999999999999</v>
      </c>
      <c r="L24" s="560">
        <v>145.6</v>
      </c>
      <c r="M24" s="560">
        <v>149.6</v>
      </c>
      <c r="N24" s="560">
        <v>153.19999999999999</v>
      </c>
      <c r="O24" s="560">
        <v>156.19999999999999</v>
      </c>
      <c r="P24" s="560">
        <v>159.9</v>
      </c>
      <c r="Q24" s="560">
        <v>165</v>
      </c>
      <c r="R24" s="560">
        <v>171.9</v>
      </c>
      <c r="S24" s="560">
        <v>180.1</v>
      </c>
      <c r="T24" s="560">
        <v>186.3</v>
      </c>
      <c r="U24" s="560">
        <v>191.9</v>
      </c>
      <c r="V24" s="560">
        <v>201.5</v>
      </c>
      <c r="W24" s="560">
        <v>204</v>
      </c>
      <c r="X24" s="560">
        <v>209.3</v>
      </c>
      <c r="Y24" s="560">
        <v>214.8</v>
      </c>
      <c r="Z24" s="560">
        <v>219.7</v>
      </c>
      <c r="AA24" s="560">
        <v>218.5</v>
      </c>
      <c r="AB24" s="560">
        <v>218.6</v>
      </c>
      <c r="AC24" s="560">
        <v>220.6</v>
      </c>
      <c r="AD24" s="560">
        <v>227</v>
      </c>
      <c r="AE24" s="560">
        <v>232.4</v>
      </c>
      <c r="AF24" s="560">
        <v>236.1</v>
      </c>
      <c r="AG24" s="560">
        <v>240.5</v>
      </c>
      <c r="AH24" s="560">
        <v>243.8</v>
      </c>
      <c r="AI24" s="560">
        <v>255.3</v>
      </c>
      <c r="AJ24" s="560">
        <v>262.2</v>
      </c>
      <c r="AK24" s="560">
        <v>268.39999999999998</v>
      </c>
      <c r="AL24" s="560">
        <v>270.10000000000002</v>
      </c>
      <c r="AM24" s="560">
        <v>278.89999999999998</v>
      </c>
      <c r="AN24" s="560">
        <v>289.39999999999998</v>
      </c>
      <c r="AO24" s="560">
        <v>298.39999999999998</v>
      </c>
      <c r="AP24" s="560">
        <v>307.7</v>
      </c>
      <c r="AQ24" s="560">
        <v>312</v>
      </c>
      <c r="AR24" s="560">
        <v>316.10000000000002</v>
      </c>
      <c r="AS24" s="560">
        <v>323.10000000000002</v>
      </c>
      <c r="AT24" s="560">
        <v>336.1</v>
      </c>
      <c r="AU24" s="560">
        <v>336.8</v>
      </c>
      <c r="AV24" s="560">
        <v>340.3</v>
      </c>
      <c r="AW24" s="560">
        <v>348.4</v>
      </c>
      <c r="AX24" s="560">
        <v>353.2</v>
      </c>
      <c r="AY24" s="560">
        <v>360.2</v>
      </c>
      <c r="AZ24" s="560">
        <v>365.8</v>
      </c>
      <c r="BA24" s="560">
        <v>373.3</v>
      </c>
      <c r="BB24" s="560">
        <v>377.4</v>
      </c>
      <c r="BC24" s="560">
        <v>380.7</v>
      </c>
      <c r="BD24" s="560">
        <v>387.8</v>
      </c>
      <c r="BE24" s="560">
        <v>390.9</v>
      </c>
      <c r="BF24" s="560">
        <v>401.6</v>
      </c>
      <c r="BG24" s="560">
        <v>410.8</v>
      </c>
      <c r="BH24" s="560">
        <v>421.7</v>
      </c>
      <c r="BI24" s="560">
        <v>430.2</v>
      </c>
      <c r="BJ24" s="560">
        <v>440.8</v>
      </c>
      <c r="BK24" s="560">
        <v>453.2</v>
      </c>
      <c r="BL24" s="560">
        <v>464.3</v>
      </c>
      <c r="BM24" s="560">
        <v>472.1</v>
      </c>
      <c r="BN24" s="560">
        <v>482.8</v>
      </c>
      <c r="BO24" s="560">
        <v>489.7</v>
      </c>
      <c r="BP24" s="560">
        <v>498.5</v>
      </c>
      <c r="BQ24" s="560">
        <v>506.6</v>
      </c>
      <c r="BR24" s="560">
        <v>516.5</v>
      </c>
      <c r="BS24" s="560">
        <v>524</v>
      </c>
      <c r="BT24" s="560">
        <v>532.1</v>
      </c>
      <c r="BU24" s="560">
        <v>542.29999999999995</v>
      </c>
      <c r="BV24" s="560">
        <v>551.1</v>
      </c>
      <c r="BW24" s="560">
        <v>563.5</v>
      </c>
      <c r="BX24" s="560">
        <v>570.79999999999995</v>
      </c>
      <c r="BY24" s="560">
        <v>584.29999999999995</v>
      </c>
      <c r="BZ24" s="560">
        <v>596.70000000000005</v>
      </c>
      <c r="CA24" s="560">
        <v>611.5</v>
      </c>
      <c r="CB24" s="560">
        <v>623.20000000000005</v>
      </c>
      <c r="CC24" s="560">
        <v>639.70000000000005</v>
      </c>
      <c r="CD24" s="560">
        <v>658.8</v>
      </c>
      <c r="CE24" s="560">
        <v>666.8</v>
      </c>
      <c r="CF24" s="560">
        <v>680.3</v>
      </c>
      <c r="CG24" s="560">
        <v>698.8</v>
      </c>
      <c r="CH24" s="560">
        <v>702.8</v>
      </c>
      <c r="CI24" s="560">
        <v>709.9</v>
      </c>
      <c r="CJ24" s="560">
        <v>719.9</v>
      </c>
      <c r="CK24" s="560">
        <v>731.4</v>
      </c>
      <c r="CL24" s="560">
        <v>746.1</v>
      </c>
      <c r="CM24" s="560">
        <v>753.9</v>
      </c>
      <c r="CN24" s="560">
        <v>759.8</v>
      </c>
      <c r="CO24" s="560">
        <v>764.4</v>
      </c>
      <c r="CP24" s="560">
        <v>771.5</v>
      </c>
      <c r="CQ24" s="560">
        <v>782.3</v>
      </c>
      <c r="CR24" s="560">
        <v>788.7</v>
      </c>
      <c r="CS24" s="560">
        <v>796.5</v>
      </c>
      <c r="CT24" s="560">
        <v>806.3</v>
      </c>
      <c r="CU24" s="560">
        <v>820</v>
      </c>
      <c r="CV24" s="560">
        <v>836.9</v>
      </c>
      <c r="CW24" s="560">
        <v>847.1</v>
      </c>
      <c r="CX24" s="560">
        <v>858.5</v>
      </c>
      <c r="CY24" s="560">
        <v>871.9</v>
      </c>
      <c r="CZ24" s="560">
        <v>876.3</v>
      </c>
      <c r="DA24" s="560">
        <v>884.3</v>
      </c>
      <c r="DB24" s="560">
        <v>891.5</v>
      </c>
      <c r="DC24" s="560">
        <v>905.5</v>
      </c>
      <c r="DD24" s="560">
        <v>919</v>
      </c>
      <c r="DE24" s="560">
        <v>938.8</v>
      </c>
      <c r="DF24" s="560">
        <v>945.3</v>
      </c>
      <c r="DG24" s="560">
        <v>955.4</v>
      </c>
      <c r="DH24" s="560">
        <v>969.2</v>
      </c>
      <c r="DI24" s="560">
        <v>985.6</v>
      </c>
      <c r="DJ24" s="560">
        <v>995.9</v>
      </c>
      <c r="DK24" s="560">
        <v>1016.6</v>
      </c>
      <c r="DL24" s="560">
        <v>1038.5999999999999</v>
      </c>
      <c r="DM24" s="560">
        <v>1053.2</v>
      </c>
      <c r="DN24" s="560">
        <v>1074</v>
      </c>
      <c r="DO24" s="560">
        <v>1095.5</v>
      </c>
      <c r="DP24" s="560">
        <v>1119.8</v>
      </c>
      <c r="DQ24" s="560">
        <v>1147.4000000000001</v>
      </c>
      <c r="DR24" s="560">
        <v>1170.5</v>
      </c>
      <c r="DS24" s="560">
        <v>1181.3</v>
      </c>
      <c r="DT24" s="560">
        <v>1198.5</v>
      </c>
      <c r="DU24" s="560">
        <v>1223.0999999999999</v>
      </c>
      <c r="DV24" s="560">
        <v>1253</v>
      </c>
      <c r="DW24" s="560">
        <v>1281.5</v>
      </c>
      <c r="DX24" s="560">
        <v>1279</v>
      </c>
      <c r="DY24" s="560">
        <v>1305.9000000000001</v>
      </c>
      <c r="DZ24" s="560">
        <v>1326</v>
      </c>
      <c r="EA24" s="560">
        <v>1339.7</v>
      </c>
      <c r="EB24" s="560">
        <v>1352.9</v>
      </c>
      <c r="EC24" s="560">
        <v>1367</v>
      </c>
      <c r="ED24" s="560">
        <v>1379.3</v>
      </c>
      <c r="EE24" s="560">
        <v>1372.8</v>
      </c>
      <c r="EF24" s="560">
        <v>1387.2</v>
      </c>
      <c r="EG24" s="560">
        <v>1396</v>
      </c>
      <c r="EH24" s="560">
        <v>1414.8</v>
      </c>
      <c r="EI24" s="560">
        <v>1436.1</v>
      </c>
      <c r="EJ24" s="560">
        <v>1453.9</v>
      </c>
      <c r="EK24" s="560">
        <v>1479.2</v>
      </c>
      <c r="EL24" s="560">
        <v>1494.3</v>
      </c>
      <c r="EM24" s="560">
        <v>1513</v>
      </c>
      <c r="EN24" s="560">
        <v>1538</v>
      </c>
      <c r="EO24" s="560">
        <v>1564.8</v>
      </c>
      <c r="EP24" s="560">
        <v>1583</v>
      </c>
      <c r="EQ24" s="560">
        <v>1613.4</v>
      </c>
      <c r="ER24" s="560">
        <v>1634.8</v>
      </c>
      <c r="ES24" s="560">
        <v>1659.4</v>
      </c>
      <c r="ET24" s="560">
        <v>1700.9</v>
      </c>
      <c r="EU24" s="560">
        <v>1727.5</v>
      </c>
      <c r="EV24" s="560">
        <v>1749.9</v>
      </c>
      <c r="EW24" s="560">
        <v>1779.8</v>
      </c>
      <c r="EX24" s="560">
        <v>1798.5</v>
      </c>
      <c r="EY24" s="560">
        <v>1825</v>
      </c>
      <c r="EZ24" s="560">
        <v>1858.8</v>
      </c>
      <c r="FA24" s="560">
        <v>1842</v>
      </c>
      <c r="FB24" s="560">
        <v>1836.8</v>
      </c>
      <c r="FC24" s="560">
        <v>1857</v>
      </c>
      <c r="FD24" s="560">
        <v>1863.8</v>
      </c>
      <c r="FE24" s="560">
        <v>1864.6</v>
      </c>
      <c r="FF24" s="560">
        <v>1855.5</v>
      </c>
      <c r="FG24" s="560">
        <v>1860.7</v>
      </c>
      <c r="FH24" s="560">
        <v>1854</v>
      </c>
      <c r="FI24" s="560">
        <v>1851.4</v>
      </c>
      <c r="FJ24" s="560">
        <v>1849.8</v>
      </c>
      <c r="FK24" s="560">
        <v>1855.5</v>
      </c>
      <c r="FL24" s="560">
        <v>1848.3</v>
      </c>
      <c r="FM24" s="560">
        <v>1839.1</v>
      </c>
      <c r="FN24" s="560">
        <v>1847.9</v>
      </c>
      <c r="FO24" s="560">
        <v>1841.8</v>
      </c>
      <c r="FP24" s="560">
        <v>1845.3</v>
      </c>
      <c r="FQ24" s="560">
        <v>1862.7</v>
      </c>
      <c r="FR24" s="560">
        <v>1884.9</v>
      </c>
      <c r="FS24" s="560">
        <v>1899.8</v>
      </c>
      <c r="FT24" s="560">
        <v>1915.8</v>
      </c>
      <c r="FU24" s="560">
        <v>1923</v>
      </c>
      <c r="FV24" s="560">
        <v>1926.4</v>
      </c>
      <c r="FW24" s="560">
        <v>1944.1</v>
      </c>
      <c r="FX24" s="560">
        <v>1962.5</v>
      </c>
      <c r="FY24" s="560">
        <v>1978.3</v>
      </c>
      <c r="FZ24" s="560">
        <v>1973.3</v>
      </c>
      <c r="GA24" s="560">
        <v>2011.4</v>
      </c>
      <c r="GB24" s="560">
        <v>2029.4</v>
      </c>
      <c r="GC24" s="560">
        <v>2025.2</v>
      </c>
      <c r="GD24" s="560">
        <v>2040.9</v>
      </c>
      <c r="GE24" s="560">
        <v>2061.6</v>
      </c>
      <c r="GF24" s="560">
        <v>2077.6999999999998</v>
      </c>
      <c r="GG24" s="560">
        <v>2094</v>
      </c>
      <c r="GH24" s="560">
        <v>2114.8000000000002</v>
      </c>
      <c r="GI24" s="560">
        <v>2120.6</v>
      </c>
      <c r="GJ24" s="560">
        <v>2137.5</v>
      </c>
      <c r="GK24" s="560">
        <v>2172.1999999999998</v>
      </c>
      <c r="GL24" s="560">
        <v>2199.6999999999998</v>
      </c>
      <c r="GM24" s="560">
        <v>2232.6</v>
      </c>
      <c r="GN24" s="560">
        <v>2250.1</v>
      </c>
      <c r="GO24" s="560">
        <v>2249.6999999999998</v>
      </c>
      <c r="GP24" s="560">
        <v>2263.5</v>
      </c>
      <c r="GQ24" s="560">
        <v>2296</v>
      </c>
      <c r="GR24" s="560">
        <v>2307.1999999999998</v>
      </c>
      <c r="GS24" s="560">
        <v>2329.1999999999998</v>
      </c>
      <c r="GT24" s="560">
        <v>2376.9</v>
      </c>
      <c r="GU24" s="560">
        <v>2334.6</v>
      </c>
      <c r="GV24" s="560">
        <v>2346.5</v>
      </c>
      <c r="GW24" s="560">
        <v>2373</v>
      </c>
      <c r="GX24" s="560">
        <v>2408.6999999999998</v>
      </c>
      <c r="GY24" s="560">
        <v>2452.6999999999998</v>
      </c>
    </row>
    <row r="25" spans="1:207">
      <c r="A25" s="560" t="s">
        <v>221</v>
      </c>
      <c r="B25" s="560">
        <v>714</v>
      </c>
      <c r="C25" s="560">
        <v>695.2</v>
      </c>
      <c r="D25" s="560">
        <v>686.7</v>
      </c>
      <c r="E25" s="560">
        <v>684.1</v>
      </c>
      <c r="F25" s="560">
        <v>662.1</v>
      </c>
      <c r="G25" s="560">
        <v>654.4</v>
      </c>
      <c r="H25" s="560">
        <v>651.5</v>
      </c>
      <c r="I25" s="560">
        <v>634.4</v>
      </c>
      <c r="J25" s="560">
        <v>639.70000000000005</v>
      </c>
      <c r="K25" s="560">
        <v>645.9</v>
      </c>
      <c r="L25" s="560">
        <v>616.29999999999995</v>
      </c>
      <c r="M25" s="560">
        <v>617.9</v>
      </c>
      <c r="N25" s="560">
        <v>625.9</v>
      </c>
      <c r="O25" s="560">
        <v>615.79999999999995</v>
      </c>
      <c r="P25" s="560">
        <v>594</v>
      </c>
      <c r="Q25" s="560">
        <v>595.4</v>
      </c>
      <c r="R25" s="560">
        <v>609.70000000000005</v>
      </c>
      <c r="S25" s="560">
        <v>607.6</v>
      </c>
      <c r="T25" s="560">
        <v>611.5</v>
      </c>
      <c r="U25" s="560">
        <v>617.6</v>
      </c>
      <c r="V25" s="560">
        <v>611.1</v>
      </c>
      <c r="W25" s="560">
        <v>605</v>
      </c>
      <c r="X25" s="560">
        <v>620.6</v>
      </c>
      <c r="Y25" s="560">
        <v>622.70000000000005</v>
      </c>
      <c r="Z25" s="560">
        <v>616.5</v>
      </c>
      <c r="AA25" s="560">
        <v>614.4</v>
      </c>
      <c r="AB25" s="560">
        <v>615.29999999999995</v>
      </c>
      <c r="AC25" s="560">
        <v>616.70000000000005</v>
      </c>
      <c r="AD25" s="560">
        <v>620.9</v>
      </c>
      <c r="AE25" s="560">
        <v>628.79999999999995</v>
      </c>
      <c r="AF25" s="560">
        <v>635.1</v>
      </c>
      <c r="AG25" s="560">
        <v>630.70000000000005</v>
      </c>
      <c r="AH25" s="560">
        <v>631.1</v>
      </c>
      <c r="AI25" s="560">
        <v>643.29999999999995</v>
      </c>
      <c r="AJ25" s="560">
        <v>647.5</v>
      </c>
      <c r="AK25" s="560">
        <v>653</v>
      </c>
      <c r="AL25" s="560">
        <v>652</v>
      </c>
      <c r="AM25" s="560">
        <v>658.6</v>
      </c>
      <c r="AN25" s="560">
        <v>660.2</v>
      </c>
      <c r="AO25" s="560">
        <v>660.9</v>
      </c>
      <c r="AP25" s="560">
        <v>678.5</v>
      </c>
      <c r="AQ25" s="560">
        <v>691.9</v>
      </c>
      <c r="AR25" s="560">
        <v>684</v>
      </c>
      <c r="AS25" s="560">
        <v>687.4</v>
      </c>
      <c r="AT25" s="560">
        <v>700.9</v>
      </c>
      <c r="AU25" s="560">
        <v>718.9</v>
      </c>
      <c r="AV25" s="560">
        <v>715.9</v>
      </c>
      <c r="AW25" s="560">
        <v>728.8</v>
      </c>
      <c r="AX25" s="560">
        <v>729.3</v>
      </c>
      <c r="AY25" s="560">
        <v>732.3</v>
      </c>
      <c r="AZ25" s="560">
        <v>744.3</v>
      </c>
      <c r="BA25" s="560">
        <v>761.9</v>
      </c>
      <c r="BB25" s="560">
        <v>773.9</v>
      </c>
      <c r="BC25" s="560">
        <v>788.3</v>
      </c>
      <c r="BD25" s="560">
        <v>808.7</v>
      </c>
      <c r="BE25" s="560">
        <v>782.5</v>
      </c>
      <c r="BF25" s="560">
        <v>789.2</v>
      </c>
      <c r="BG25" s="560">
        <v>813.1</v>
      </c>
      <c r="BH25" s="560">
        <v>812.3</v>
      </c>
      <c r="BI25" s="560">
        <v>838.4</v>
      </c>
      <c r="BJ25" s="560">
        <v>846</v>
      </c>
      <c r="BK25" s="560">
        <v>868.3</v>
      </c>
      <c r="BL25" s="560">
        <v>894.2</v>
      </c>
      <c r="BM25" s="560">
        <v>894.7</v>
      </c>
      <c r="BN25" s="560">
        <v>892.2</v>
      </c>
      <c r="BO25" s="560">
        <v>921.1</v>
      </c>
      <c r="BP25" s="560">
        <v>953</v>
      </c>
      <c r="BQ25" s="560">
        <v>941.8</v>
      </c>
      <c r="BR25" s="560">
        <v>947.9</v>
      </c>
      <c r="BS25" s="560">
        <v>960.8</v>
      </c>
      <c r="BT25" s="560">
        <v>959.5</v>
      </c>
      <c r="BU25" s="560">
        <v>975.7</v>
      </c>
      <c r="BV25" s="560">
        <v>947.7</v>
      </c>
      <c r="BW25" s="560">
        <v>940.6</v>
      </c>
      <c r="BX25" s="560">
        <v>936.1</v>
      </c>
      <c r="BY25" s="560">
        <v>962.1</v>
      </c>
      <c r="BZ25" s="560">
        <v>944.5</v>
      </c>
      <c r="CA25" s="560">
        <v>963.7</v>
      </c>
      <c r="CB25" s="560">
        <v>971.6</v>
      </c>
      <c r="CC25" s="560">
        <v>967.1</v>
      </c>
      <c r="CD25" s="560">
        <v>983.2</v>
      </c>
      <c r="CE25" s="560">
        <v>984.5</v>
      </c>
      <c r="CF25" s="560">
        <v>980.1</v>
      </c>
      <c r="CG25" s="560">
        <v>981.3</v>
      </c>
      <c r="CH25" s="560">
        <v>992.5</v>
      </c>
      <c r="CI25" s="560">
        <v>996.6</v>
      </c>
      <c r="CJ25" s="560">
        <v>983.4</v>
      </c>
      <c r="CK25" s="560">
        <v>958.8</v>
      </c>
      <c r="CL25" s="560">
        <v>962.4</v>
      </c>
      <c r="CM25" s="560">
        <v>959.9</v>
      </c>
      <c r="CN25" s="560">
        <v>973.4</v>
      </c>
      <c r="CO25" s="560">
        <v>974.1</v>
      </c>
      <c r="CP25" s="560">
        <v>942.2</v>
      </c>
      <c r="CQ25" s="560">
        <v>932.3</v>
      </c>
      <c r="CR25" s="560">
        <v>928.8</v>
      </c>
      <c r="CS25" s="560">
        <v>930.4</v>
      </c>
      <c r="CT25" s="560">
        <v>897.9</v>
      </c>
      <c r="CU25" s="560">
        <v>894.1</v>
      </c>
      <c r="CV25" s="560">
        <v>915.8</v>
      </c>
      <c r="CW25" s="560">
        <v>891.7</v>
      </c>
      <c r="CX25" s="560">
        <v>889.2</v>
      </c>
      <c r="CY25" s="560">
        <v>886.2</v>
      </c>
      <c r="CZ25" s="560">
        <v>879.1</v>
      </c>
      <c r="DA25" s="560">
        <v>849.1</v>
      </c>
      <c r="DB25" s="560">
        <v>865.9</v>
      </c>
      <c r="DC25" s="560">
        <v>874.1</v>
      </c>
      <c r="DD25" s="560">
        <v>862.5</v>
      </c>
      <c r="DE25" s="560">
        <v>858.3</v>
      </c>
      <c r="DF25" s="560">
        <v>846.2</v>
      </c>
      <c r="DG25" s="560">
        <v>865</v>
      </c>
      <c r="DH25" s="560">
        <v>861.3</v>
      </c>
      <c r="DI25" s="560">
        <v>859.9</v>
      </c>
      <c r="DJ25" s="560">
        <v>838.5</v>
      </c>
      <c r="DK25" s="560">
        <v>854.9</v>
      </c>
      <c r="DL25" s="560">
        <v>851.6</v>
      </c>
      <c r="DM25" s="560">
        <v>857</v>
      </c>
      <c r="DN25" s="560">
        <v>856.3</v>
      </c>
      <c r="DO25" s="560">
        <v>855.4</v>
      </c>
      <c r="DP25" s="560">
        <v>869</v>
      </c>
      <c r="DQ25" s="560">
        <v>886.8</v>
      </c>
      <c r="DR25" s="560">
        <v>857.6</v>
      </c>
      <c r="DS25" s="560">
        <v>884.1</v>
      </c>
      <c r="DT25" s="560">
        <v>867</v>
      </c>
      <c r="DU25" s="560">
        <v>868.9</v>
      </c>
      <c r="DV25" s="560">
        <v>887.5</v>
      </c>
      <c r="DW25" s="560">
        <v>900.4</v>
      </c>
      <c r="DX25" s="560">
        <v>905.8</v>
      </c>
      <c r="DY25" s="560">
        <v>916.6</v>
      </c>
      <c r="DZ25" s="560">
        <v>946.8</v>
      </c>
      <c r="EA25" s="560">
        <v>965.2</v>
      </c>
      <c r="EB25" s="560">
        <v>974.7</v>
      </c>
      <c r="EC25" s="560">
        <v>991.3</v>
      </c>
      <c r="ED25" s="560">
        <v>1002.5</v>
      </c>
      <c r="EE25" s="560">
        <v>1037.0999999999999</v>
      </c>
      <c r="EF25" s="560">
        <v>1036.8</v>
      </c>
      <c r="EG25" s="560">
        <v>1056.0999999999999</v>
      </c>
      <c r="EH25" s="560">
        <v>1067.5999999999999</v>
      </c>
      <c r="EI25" s="560">
        <v>1073.9000000000001</v>
      </c>
      <c r="EJ25" s="560">
        <v>1085.7</v>
      </c>
      <c r="EK25" s="560">
        <v>1083.7</v>
      </c>
      <c r="EL25" s="560">
        <v>1095.8</v>
      </c>
      <c r="EM25" s="560">
        <v>1094.5999999999999</v>
      </c>
      <c r="EN25" s="560">
        <v>1103.0999999999999</v>
      </c>
      <c r="EO25" s="560">
        <v>1103.5</v>
      </c>
      <c r="EP25" s="560">
        <v>1132.2</v>
      </c>
      <c r="EQ25" s="560">
        <v>1124.4000000000001</v>
      </c>
      <c r="ER25" s="560">
        <v>1114.3</v>
      </c>
      <c r="ES25" s="560">
        <v>1130.4000000000001</v>
      </c>
      <c r="ET25" s="560">
        <v>1123.7</v>
      </c>
      <c r="EU25" s="560">
        <v>1142.0999999999999</v>
      </c>
      <c r="EV25" s="560">
        <v>1152.0999999999999</v>
      </c>
      <c r="EW25" s="560">
        <v>1171.3</v>
      </c>
      <c r="EX25" s="560">
        <v>1189.0999999999999</v>
      </c>
      <c r="EY25" s="560">
        <v>1214.5</v>
      </c>
      <c r="EZ25" s="560">
        <v>1230.3</v>
      </c>
      <c r="FA25" s="560">
        <v>1246.3</v>
      </c>
      <c r="FB25" s="560">
        <v>1262.8</v>
      </c>
      <c r="FC25" s="560">
        <v>1292.8</v>
      </c>
      <c r="FD25" s="560">
        <v>1304.5999999999999</v>
      </c>
      <c r="FE25" s="560">
        <v>1324</v>
      </c>
      <c r="FF25" s="560">
        <v>1338.8</v>
      </c>
      <c r="FG25" s="560">
        <v>1356.4</v>
      </c>
      <c r="FH25" s="560">
        <v>1350.2</v>
      </c>
      <c r="FI25" s="560">
        <v>1348</v>
      </c>
      <c r="FJ25" s="560">
        <v>1329</v>
      </c>
      <c r="FK25" s="560">
        <v>1323.9</v>
      </c>
      <c r="FL25" s="560">
        <v>1295.0999999999999</v>
      </c>
      <c r="FM25" s="560">
        <v>1299.9000000000001</v>
      </c>
      <c r="FN25" s="560">
        <v>1299.9000000000001</v>
      </c>
      <c r="FO25" s="560">
        <v>1289.5</v>
      </c>
      <c r="FP25" s="560">
        <v>1292.2</v>
      </c>
      <c r="FQ25" s="560">
        <v>1266.4000000000001</v>
      </c>
      <c r="FR25" s="560">
        <v>1237.4000000000001</v>
      </c>
      <c r="FS25" s="560">
        <v>1227.4000000000001</v>
      </c>
      <c r="FT25" s="560">
        <v>1209.5999999999999</v>
      </c>
      <c r="FU25" s="560">
        <v>1188.9000000000001</v>
      </c>
      <c r="FV25" s="560">
        <v>1187.7</v>
      </c>
      <c r="FW25" s="560">
        <v>1180.7</v>
      </c>
      <c r="FX25" s="560">
        <v>1193.9000000000001</v>
      </c>
      <c r="FY25" s="560">
        <v>1176.5</v>
      </c>
      <c r="FZ25" s="560">
        <v>1181.3</v>
      </c>
      <c r="GA25" s="560">
        <v>1183.5</v>
      </c>
      <c r="GB25" s="560">
        <v>1182.3</v>
      </c>
      <c r="GC25" s="560">
        <v>1191.0999999999999</v>
      </c>
      <c r="GD25" s="560">
        <v>1194</v>
      </c>
      <c r="GE25" s="560">
        <v>1184.3</v>
      </c>
      <c r="GF25" s="560">
        <v>1191.5</v>
      </c>
      <c r="GG25" s="560">
        <v>1192.3</v>
      </c>
      <c r="GH25" s="560">
        <v>1183.8</v>
      </c>
      <c r="GI25" s="560">
        <v>1193.7</v>
      </c>
      <c r="GJ25" s="560">
        <v>1193.4000000000001</v>
      </c>
      <c r="GK25" s="560">
        <v>1207.7</v>
      </c>
      <c r="GL25" s="560">
        <v>1213</v>
      </c>
      <c r="GM25" s="560">
        <v>1228.0999999999999</v>
      </c>
      <c r="GN25" s="560">
        <v>1238.5</v>
      </c>
      <c r="GO25" s="560">
        <v>1244.2</v>
      </c>
      <c r="GP25" s="560">
        <v>1248.7</v>
      </c>
      <c r="GQ25" s="560">
        <v>1275.5</v>
      </c>
      <c r="GR25" s="560">
        <v>1286.8</v>
      </c>
      <c r="GS25" s="560">
        <v>1298</v>
      </c>
      <c r="GT25" s="560">
        <v>1305.8</v>
      </c>
      <c r="GU25" s="560">
        <v>1368.4</v>
      </c>
      <c r="GV25" s="560">
        <v>1349.6</v>
      </c>
      <c r="GW25" s="560">
        <v>1338.8</v>
      </c>
      <c r="GX25" s="560">
        <v>1375.2</v>
      </c>
      <c r="GY25" s="560">
        <v>1357.1</v>
      </c>
    </row>
    <row r="26" spans="1:207">
      <c r="A26" s="560" t="s">
        <v>222</v>
      </c>
      <c r="B26" s="560">
        <v>834.4</v>
      </c>
      <c r="C26" s="560">
        <v>838.9</v>
      </c>
      <c r="D26" s="560">
        <v>858.1</v>
      </c>
      <c r="E26" s="560">
        <v>862.4</v>
      </c>
      <c r="F26" s="560">
        <v>866</v>
      </c>
      <c r="G26" s="560">
        <v>872.4</v>
      </c>
      <c r="H26" s="560">
        <v>875.4</v>
      </c>
      <c r="I26" s="560">
        <v>886.4</v>
      </c>
      <c r="J26" s="560">
        <v>888.8</v>
      </c>
      <c r="K26" s="560">
        <v>887.3</v>
      </c>
      <c r="L26" s="560">
        <v>894.4</v>
      </c>
      <c r="M26" s="560">
        <v>906.7</v>
      </c>
      <c r="N26" s="560">
        <v>910.9</v>
      </c>
      <c r="O26" s="560">
        <v>912.4</v>
      </c>
      <c r="P26" s="560">
        <v>921.9</v>
      </c>
      <c r="Q26" s="560">
        <v>933.1</v>
      </c>
      <c r="R26" s="560">
        <v>944.9</v>
      </c>
      <c r="S26" s="560">
        <v>956.6</v>
      </c>
      <c r="T26" s="560">
        <v>954.8</v>
      </c>
      <c r="U26" s="560">
        <v>955.2</v>
      </c>
      <c r="V26" s="560">
        <v>983.4</v>
      </c>
      <c r="W26" s="560">
        <v>976.4</v>
      </c>
      <c r="X26" s="560">
        <v>988.9</v>
      </c>
      <c r="Y26" s="560">
        <v>1002.1</v>
      </c>
      <c r="Z26" s="560">
        <v>1013.3</v>
      </c>
      <c r="AA26" s="560">
        <v>995.6</v>
      </c>
      <c r="AB26" s="560">
        <v>989</v>
      </c>
      <c r="AC26" s="560">
        <v>986</v>
      </c>
      <c r="AD26" s="560">
        <v>995.8</v>
      </c>
      <c r="AE26" s="560">
        <v>1001.9</v>
      </c>
      <c r="AF26" s="560">
        <v>1000.8</v>
      </c>
      <c r="AG26" s="560">
        <v>1002.4</v>
      </c>
      <c r="AH26" s="560">
        <v>1002.2</v>
      </c>
      <c r="AI26" s="560">
        <v>1032.3</v>
      </c>
      <c r="AJ26" s="560">
        <v>1044.2</v>
      </c>
      <c r="AK26" s="560">
        <v>1054.0999999999999</v>
      </c>
      <c r="AL26" s="560">
        <v>1036.2</v>
      </c>
      <c r="AM26" s="560">
        <v>1046</v>
      </c>
      <c r="AN26" s="560">
        <v>1049.5999999999999</v>
      </c>
      <c r="AO26" s="560">
        <v>1061.4000000000001</v>
      </c>
      <c r="AP26" s="560">
        <v>1066.3</v>
      </c>
      <c r="AQ26" s="560">
        <v>1052.2</v>
      </c>
      <c r="AR26" s="560">
        <v>1035.9000000000001</v>
      </c>
      <c r="AS26" s="560">
        <v>1030.8</v>
      </c>
      <c r="AT26" s="560">
        <v>1038.9000000000001</v>
      </c>
      <c r="AU26" s="560">
        <v>1019</v>
      </c>
      <c r="AV26" s="560">
        <v>1016.1</v>
      </c>
      <c r="AW26" s="560">
        <v>1024</v>
      </c>
      <c r="AX26" s="560">
        <v>1021.2</v>
      </c>
      <c r="AY26" s="560">
        <v>1024.8</v>
      </c>
      <c r="AZ26" s="560">
        <v>1024.8</v>
      </c>
      <c r="BA26" s="560">
        <v>1032.5</v>
      </c>
      <c r="BB26" s="560">
        <v>1036.3</v>
      </c>
      <c r="BC26" s="560">
        <v>1034.2</v>
      </c>
      <c r="BD26" s="560">
        <v>1043.2</v>
      </c>
      <c r="BE26" s="560">
        <v>1043.9000000000001</v>
      </c>
      <c r="BF26" s="560">
        <v>1057.0999999999999</v>
      </c>
      <c r="BG26" s="560">
        <v>1071.2</v>
      </c>
      <c r="BH26" s="560">
        <v>1089.5</v>
      </c>
      <c r="BI26" s="560">
        <v>1100.5</v>
      </c>
      <c r="BJ26" s="560">
        <v>1114.4000000000001</v>
      </c>
      <c r="BK26" s="560">
        <v>1134.5999999999999</v>
      </c>
      <c r="BL26" s="560">
        <v>1152.7</v>
      </c>
      <c r="BM26" s="560">
        <v>1161.5</v>
      </c>
      <c r="BN26" s="560">
        <v>1182.9000000000001</v>
      </c>
      <c r="BO26" s="560">
        <v>1194.4000000000001</v>
      </c>
      <c r="BP26" s="560">
        <v>1205.5</v>
      </c>
      <c r="BQ26" s="560">
        <v>1209.5</v>
      </c>
      <c r="BR26" s="560">
        <v>1215.9000000000001</v>
      </c>
      <c r="BS26" s="560">
        <v>1218.5999999999999</v>
      </c>
      <c r="BT26" s="560">
        <v>1222.8</v>
      </c>
      <c r="BU26" s="560">
        <v>1238.9000000000001</v>
      </c>
      <c r="BV26" s="560">
        <v>1252.5999999999999</v>
      </c>
      <c r="BW26" s="560">
        <v>1268.4000000000001</v>
      </c>
      <c r="BX26" s="560">
        <v>1274.0999999999999</v>
      </c>
      <c r="BY26" s="560">
        <v>1289.4000000000001</v>
      </c>
      <c r="BZ26" s="560">
        <v>1299.8</v>
      </c>
      <c r="CA26" s="560">
        <v>1314.2</v>
      </c>
      <c r="CB26" s="560">
        <v>1326.9</v>
      </c>
      <c r="CC26" s="560">
        <v>1344.6</v>
      </c>
      <c r="CD26" s="560">
        <v>1365.4</v>
      </c>
      <c r="CE26" s="560">
        <v>1367.9</v>
      </c>
      <c r="CF26" s="560">
        <v>1377</v>
      </c>
      <c r="CG26" s="560">
        <v>1392.4</v>
      </c>
      <c r="CH26" s="560">
        <v>1394.5</v>
      </c>
      <c r="CI26" s="560">
        <v>1400.1</v>
      </c>
      <c r="CJ26" s="560">
        <v>1408.3</v>
      </c>
      <c r="CK26" s="560">
        <v>1418.2</v>
      </c>
      <c r="CL26" s="560">
        <v>1436.5</v>
      </c>
      <c r="CM26" s="560">
        <v>1434.4</v>
      </c>
      <c r="CN26" s="560">
        <v>1435</v>
      </c>
      <c r="CO26" s="560">
        <v>1433.9</v>
      </c>
      <c r="CP26" s="560">
        <v>1438.9</v>
      </c>
      <c r="CQ26" s="560">
        <v>1450.6</v>
      </c>
      <c r="CR26" s="560">
        <v>1458.2</v>
      </c>
      <c r="CS26" s="560">
        <v>1465.3</v>
      </c>
      <c r="CT26" s="560">
        <v>1471.3</v>
      </c>
      <c r="CU26" s="560">
        <v>1488.1</v>
      </c>
      <c r="CV26" s="560">
        <v>1505.6</v>
      </c>
      <c r="CW26" s="560">
        <v>1511.1</v>
      </c>
      <c r="CX26" s="560">
        <v>1522.9</v>
      </c>
      <c r="CY26" s="560">
        <v>1534.9</v>
      </c>
      <c r="CZ26" s="560">
        <v>1536.4</v>
      </c>
      <c r="DA26" s="560">
        <v>1544.4</v>
      </c>
      <c r="DB26" s="560">
        <v>1541.6</v>
      </c>
      <c r="DC26" s="560">
        <v>1563.8</v>
      </c>
      <c r="DD26" s="560">
        <v>1577.1</v>
      </c>
      <c r="DE26" s="560">
        <v>1599.6</v>
      </c>
      <c r="DF26" s="560">
        <v>1600.1</v>
      </c>
      <c r="DG26" s="560">
        <v>1611.9</v>
      </c>
      <c r="DH26" s="560">
        <v>1628.1</v>
      </c>
      <c r="DI26" s="560">
        <v>1642.8</v>
      </c>
      <c r="DJ26" s="560">
        <v>1657.8</v>
      </c>
      <c r="DK26" s="560">
        <v>1684.9</v>
      </c>
      <c r="DL26" s="560">
        <v>1708.6</v>
      </c>
      <c r="DM26" s="560">
        <v>1718.3</v>
      </c>
      <c r="DN26" s="560">
        <v>1737.3</v>
      </c>
      <c r="DO26" s="560">
        <v>1748.4</v>
      </c>
      <c r="DP26" s="560">
        <v>1766</v>
      </c>
      <c r="DQ26" s="560">
        <v>1788.9</v>
      </c>
      <c r="DR26" s="560">
        <v>1801.7</v>
      </c>
      <c r="DS26" s="560">
        <v>1799.2</v>
      </c>
      <c r="DT26" s="560">
        <v>1806.2</v>
      </c>
      <c r="DU26" s="560">
        <v>1820.6</v>
      </c>
      <c r="DV26" s="560">
        <v>1842.9</v>
      </c>
      <c r="DW26" s="560">
        <v>1877.7</v>
      </c>
      <c r="DX26" s="560">
        <v>1869</v>
      </c>
      <c r="DY26" s="560">
        <v>1904.3</v>
      </c>
      <c r="DZ26" s="560">
        <v>1923.7</v>
      </c>
      <c r="EA26" s="560">
        <v>1926.3</v>
      </c>
      <c r="EB26" s="560">
        <v>1931.3</v>
      </c>
      <c r="EC26" s="560">
        <v>1935.3</v>
      </c>
      <c r="ED26" s="560">
        <v>1925.3</v>
      </c>
      <c r="EE26" s="560">
        <v>1914.9</v>
      </c>
      <c r="EF26" s="560">
        <v>1921.9</v>
      </c>
      <c r="EG26" s="560">
        <v>1919.2</v>
      </c>
      <c r="EH26" s="560">
        <v>1920.6</v>
      </c>
      <c r="EI26" s="560">
        <v>1922.1</v>
      </c>
      <c r="EJ26" s="560">
        <v>1914.9</v>
      </c>
      <c r="EK26" s="560">
        <v>1915.3</v>
      </c>
      <c r="EL26" s="560">
        <v>1917.6</v>
      </c>
      <c r="EM26" s="560">
        <v>1917</v>
      </c>
      <c r="EN26" s="560">
        <v>1918.2</v>
      </c>
      <c r="EO26" s="560">
        <v>1920.2</v>
      </c>
      <c r="EP26" s="560">
        <v>1928.9</v>
      </c>
      <c r="EQ26" s="560">
        <v>1936.2</v>
      </c>
      <c r="ER26" s="560">
        <v>1942.4</v>
      </c>
      <c r="ES26" s="560">
        <v>1951</v>
      </c>
      <c r="ET26" s="560">
        <v>1962.4</v>
      </c>
      <c r="EU26" s="560">
        <v>1971.8</v>
      </c>
      <c r="EV26" s="560">
        <v>1975.8</v>
      </c>
      <c r="EW26" s="560">
        <v>1980.8</v>
      </c>
      <c r="EX26" s="560">
        <v>1970</v>
      </c>
      <c r="EY26" s="560">
        <v>1971.6</v>
      </c>
      <c r="EZ26" s="560">
        <v>1981.5</v>
      </c>
      <c r="FA26" s="560">
        <v>1987.3</v>
      </c>
      <c r="FB26" s="560">
        <v>2007.7</v>
      </c>
      <c r="FC26" s="560">
        <v>2025.2</v>
      </c>
      <c r="FD26" s="560">
        <v>2022.3</v>
      </c>
      <c r="FE26" s="560">
        <v>2008.4</v>
      </c>
      <c r="FF26" s="560">
        <v>1978.9</v>
      </c>
      <c r="FG26" s="560">
        <v>1971.3</v>
      </c>
      <c r="FH26" s="560">
        <v>1953.9</v>
      </c>
      <c r="FI26" s="560">
        <v>1934.9</v>
      </c>
      <c r="FJ26" s="560">
        <v>1913.8</v>
      </c>
      <c r="FK26" s="560">
        <v>1896.9</v>
      </c>
      <c r="FL26" s="560">
        <v>1879.8</v>
      </c>
      <c r="FM26" s="560">
        <v>1872.6</v>
      </c>
      <c r="FN26" s="560">
        <v>1859</v>
      </c>
      <c r="FO26" s="560">
        <v>1852.9</v>
      </c>
      <c r="FP26" s="560">
        <v>1845.5</v>
      </c>
      <c r="FQ26" s="560">
        <v>1840.5</v>
      </c>
      <c r="FR26" s="560">
        <v>1841.3</v>
      </c>
      <c r="FS26" s="560">
        <v>1846</v>
      </c>
      <c r="FT26" s="560">
        <v>1847</v>
      </c>
      <c r="FU26" s="560">
        <v>1843.4</v>
      </c>
      <c r="FV26" s="560">
        <v>1832.2</v>
      </c>
      <c r="FW26" s="560">
        <v>1842.7</v>
      </c>
      <c r="FX26" s="560">
        <v>1849.9</v>
      </c>
      <c r="FY26" s="560">
        <v>1865.4</v>
      </c>
      <c r="FZ26" s="560">
        <v>1876.3</v>
      </c>
      <c r="GA26" s="560">
        <v>1900</v>
      </c>
      <c r="GB26" s="560">
        <v>1915.1</v>
      </c>
      <c r="GC26" s="560">
        <v>1917.5</v>
      </c>
      <c r="GD26" s="560">
        <v>1946.9</v>
      </c>
      <c r="GE26" s="560">
        <v>1951.6</v>
      </c>
      <c r="GF26" s="560">
        <v>1960.4</v>
      </c>
      <c r="GG26" s="560">
        <v>1966.2</v>
      </c>
      <c r="GH26" s="560">
        <v>1967.8</v>
      </c>
      <c r="GI26" s="560">
        <v>1967.5</v>
      </c>
      <c r="GJ26" s="560">
        <v>1965.3</v>
      </c>
      <c r="GK26" s="560">
        <v>1973.4</v>
      </c>
      <c r="GL26" s="560">
        <v>1974.9</v>
      </c>
      <c r="GM26" s="560">
        <v>1982.5</v>
      </c>
      <c r="GN26" s="560">
        <v>1980.2</v>
      </c>
      <c r="GO26" s="560">
        <v>1968.1</v>
      </c>
      <c r="GP26" s="560">
        <v>1985.4</v>
      </c>
      <c r="GQ26" s="560">
        <v>1998.7</v>
      </c>
      <c r="GR26" s="560">
        <v>2004.3</v>
      </c>
      <c r="GS26" s="560">
        <v>2017.6</v>
      </c>
      <c r="GT26" s="560">
        <v>2039.7</v>
      </c>
      <c r="GU26" s="560">
        <v>2011</v>
      </c>
      <c r="GV26" s="560">
        <v>2011.4</v>
      </c>
      <c r="GW26" s="560">
        <v>2017.6</v>
      </c>
      <c r="GX26" s="560">
        <v>2017.1</v>
      </c>
      <c r="GY26" s="560">
        <v>2018.5</v>
      </c>
    </row>
    <row r="27" spans="1:207">
      <c r="A27" s="560" t="s">
        <v>223</v>
      </c>
      <c r="B27" s="560">
        <v>90.6</v>
      </c>
      <c r="C27" s="560">
        <v>91.4</v>
      </c>
      <c r="D27" s="560">
        <v>86.3</v>
      </c>
      <c r="E27" s="560">
        <v>87.2</v>
      </c>
      <c r="F27" s="560">
        <v>83.6</v>
      </c>
      <c r="G27" s="560">
        <v>85.1</v>
      </c>
      <c r="H27" s="560">
        <v>86.3</v>
      </c>
      <c r="I27" s="560">
        <v>88.2</v>
      </c>
      <c r="J27" s="560">
        <v>100.3</v>
      </c>
      <c r="K27" s="560">
        <v>102.4</v>
      </c>
      <c r="L27" s="560">
        <v>103.1</v>
      </c>
      <c r="M27" s="560">
        <v>105.3</v>
      </c>
      <c r="N27" s="560">
        <v>104.5</v>
      </c>
      <c r="O27" s="560">
        <v>106.9</v>
      </c>
      <c r="P27" s="560">
        <v>111</v>
      </c>
      <c r="Q27" s="560">
        <v>116</v>
      </c>
      <c r="R27" s="560">
        <v>119.5</v>
      </c>
      <c r="S27" s="560">
        <v>124.8</v>
      </c>
      <c r="T27" s="560">
        <v>129.69999999999999</v>
      </c>
      <c r="U27" s="560">
        <v>132</v>
      </c>
      <c r="V27" s="560">
        <v>132.30000000000001</v>
      </c>
      <c r="W27" s="560">
        <v>94.6</v>
      </c>
      <c r="X27" s="560">
        <v>125.7</v>
      </c>
      <c r="Y27" s="560">
        <v>130.4</v>
      </c>
      <c r="Z27" s="560">
        <v>133</v>
      </c>
      <c r="AA27" s="560">
        <v>138.69999999999999</v>
      </c>
      <c r="AB27" s="560">
        <v>144.5</v>
      </c>
      <c r="AC27" s="560">
        <v>150.1</v>
      </c>
      <c r="AD27" s="560">
        <v>155.30000000000001</v>
      </c>
      <c r="AE27" s="560">
        <v>161</v>
      </c>
      <c r="AF27" s="560">
        <v>162.6</v>
      </c>
      <c r="AG27" s="560">
        <v>171.2</v>
      </c>
      <c r="AH27" s="560">
        <v>173.4</v>
      </c>
      <c r="AI27" s="560">
        <v>182.9</v>
      </c>
      <c r="AJ27" s="560">
        <v>195.4</v>
      </c>
      <c r="AK27" s="560">
        <v>205.1</v>
      </c>
      <c r="AL27" s="560">
        <v>211.6</v>
      </c>
      <c r="AM27" s="560">
        <v>219.9</v>
      </c>
      <c r="AN27" s="560">
        <v>229.4</v>
      </c>
      <c r="AO27" s="560">
        <v>238.6</v>
      </c>
      <c r="AP27" s="560">
        <v>238.3</v>
      </c>
      <c r="AQ27" s="560">
        <v>244.2</v>
      </c>
      <c r="AR27" s="560">
        <v>252.8</v>
      </c>
      <c r="AS27" s="560">
        <v>267.2</v>
      </c>
      <c r="AT27" s="560">
        <v>278.39999999999998</v>
      </c>
      <c r="AU27" s="560">
        <v>289</v>
      </c>
      <c r="AV27" s="560">
        <v>301.39999999999998</v>
      </c>
      <c r="AW27" s="560">
        <v>295.89999999999998</v>
      </c>
      <c r="AX27" s="560">
        <v>295.2</v>
      </c>
      <c r="AY27" s="560">
        <v>301.7</v>
      </c>
      <c r="AZ27" s="560">
        <v>289.7</v>
      </c>
      <c r="BA27" s="560">
        <v>295.8</v>
      </c>
      <c r="BB27" s="560">
        <v>289.5</v>
      </c>
      <c r="BC27" s="560">
        <v>295.3</v>
      </c>
      <c r="BD27" s="560">
        <v>277.3</v>
      </c>
      <c r="BE27" s="560">
        <v>284.89999999999998</v>
      </c>
      <c r="BF27" s="560">
        <v>287.89999999999998</v>
      </c>
      <c r="BG27" s="560">
        <v>294.60000000000002</v>
      </c>
      <c r="BH27" s="560">
        <v>307.3</v>
      </c>
      <c r="BI27" s="560">
        <v>317.7</v>
      </c>
      <c r="BJ27" s="560">
        <v>353</v>
      </c>
      <c r="BK27" s="560">
        <v>307.60000000000002</v>
      </c>
      <c r="BL27" s="560">
        <v>340</v>
      </c>
      <c r="BM27" s="560">
        <v>345.2</v>
      </c>
      <c r="BN27" s="560">
        <v>341.8</v>
      </c>
      <c r="BO27" s="560">
        <v>344.4</v>
      </c>
      <c r="BP27" s="560">
        <v>352</v>
      </c>
      <c r="BQ27" s="560">
        <v>364.2</v>
      </c>
      <c r="BR27" s="560">
        <v>358.3</v>
      </c>
      <c r="BS27" s="560">
        <v>410.2</v>
      </c>
      <c r="BT27" s="560">
        <v>394.9</v>
      </c>
      <c r="BU27" s="560">
        <v>408.5</v>
      </c>
      <c r="BV27" s="560">
        <v>402.6</v>
      </c>
      <c r="BW27" s="560">
        <v>400.6</v>
      </c>
      <c r="BX27" s="560">
        <v>402.5</v>
      </c>
      <c r="BY27" s="560">
        <v>409.6</v>
      </c>
      <c r="BZ27" s="560">
        <v>439.5</v>
      </c>
      <c r="CA27" s="560">
        <v>448.4</v>
      </c>
      <c r="CB27" s="560">
        <v>457.1</v>
      </c>
      <c r="CC27" s="560">
        <v>467.4</v>
      </c>
      <c r="CD27" s="560">
        <v>463.2</v>
      </c>
      <c r="CE27" s="560">
        <v>472</v>
      </c>
      <c r="CF27" s="560">
        <v>477</v>
      </c>
      <c r="CG27" s="560">
        <v>476.2</v>
      </c>
      <c r="CH27" s="560">
        <v>459.6</v>
      </c>
      <c r="CI27" s="560">
        <v>461.4</v>
      </c>
      <c r="CJ27" s="560">
        <v>464.1</v>
      </c>
      <c r="CK27" s="560">
        <v>469.2</v>
      </c>
      <c r="CL27" s="560">
        <v>461.3</v>
      </c>
      <c r="CM27" s="560">
        <v>470.2</v>
      </c>
      <c r="CN27" s="560">
        <v>479.4</v>
      </c>
      <c r="CO27" s="560">
        <v>499</v>
      </c>
      <c r="CP27" s="560">
        <v>480.3</v>
      </c>
      <c r="CQ27" s="560">
        <v>505.3</v>
      </c>
      <c r="CR27" s="560">
        <v>515.6</v>
      </c>
      <c r="CS27" s="560">
        <v>529.5</v>
      </c>
      <c r="CT27" s="560">
        <v>526.70000000000005</v>
      </c>
      <c r="CU27" s="560">
        <v>555.9</v>
      </c>
      <c r="CV27" s="560">
        <v>544.20000000000005</v>
      </c>
      <c r="CW27" s="560">
        <v>553.4</v>
      </c>
      <c r="CX27" s="560">
        <v>567.70000000000005</v>
      </c>
      <c r="CY27" s="560">
        <v>594.4</v>
      </c>
      <c r="CZ27" s="560">
        <v>591.5</v>
      </c>
      <c r="DA27" s="560">
        <v>607.6</v>
      </c>
      <c r="DB27" s="560">
        <v>636.4</v>
      </c>
      <c r="DC27" s="560">
        <v>673.6</v>
      </c>
      <c r="DD27" s="560">
        <v>674.2</v>
      </c>
      <c r="DE27" s="560">
        <v>689.4</v>
      </c>
      <c r="DF27" s="560">
        <v>724.3</v>
      </c>
      <c r="DG27" s="560">
        <v>739.3</v>
      </c>
      <c r="DH27" s="560">
        <v>757</v>
      </c>
      <c r="DI27" s="560">
        <v>778.6</v>
      </c>
      <c r="DJ27" s="560">
        <v>800.6</v>
      </c>
      <c r="DK27" s="560">
        <v>820.9</v>
      </c>
      <c r="DL27" s="560">
        <v>841.6</v>
      </c>
      <c r="DM27" s="560">
        <v>861.7</v>
      </c>
      <c r="DN27" s="560">
        <v>869.8</v>
      </c>
      <c r="DO27" s="560">
        <v>885.8</v>
      </c>
      <c r="DP27" s="560">
        <v>904.2</v>
      </c>
      <c r="DQ27" s="560">
        <v>930</v>
      </c>
      <c r="DR27" s="560">
        <v>976.6</v>
      </c>
      <c r="DS27" s="560">
        <v>986.9</v>
      </c>
      <c r="DT27" s="560">
        <v>1011.1</v>
      </c>
      <c r="DU27" s="560">
        <v>1023.9</v>
      </c>
      <c r="DV27" s="560">
        <v>1051</v>
      </c>
      <c r="DW27" s="560">
        <v>1049</v>
      </c>
      <c r="DX27" s="560">
        <v>881.7</v>
      </c>
      <c r="DY27" s="560">
        <v>1002.4</v>
      </c>
      <c r="DZ27" s="560">
        <v>847.8</v>
      </c>
      <c r="EA27" s="560">
        <v>836.7</v>
      </c>
      <c r="EB27" s="560">
        <v>825.3</v>
      </c>
      <c r="EC27" s="560">
        <v>819.6</v>
      </c>
      <c r="ED27" s="560">
        <v>803.5</v>
      </c>
      <c r="EE27" s="560">
        <v>812.9</v>
      </c>
      <c r="EF27" s="560">
        <v>716.5</v>
      </c>
      <c r="EG27" s="560">
        <v>781.6</v>
      </c>
      <c r="EH27" s="560">
        <v>773.2</v>
      </c>
      <c r="EI27" s="560">
        <v>792.4</v>
      </c>
      <c r="EJ27" s="560">
        <v>816.7</v>
      </c>
      <c r="EK27" s="560">
        <v>829.8</v>
      </c>
      <c r="EL27" s="560">
        <v>902.9</v>
      </c>
      <c r="EM27" s="560">
        <v>925.8</v>
      </c>
      <c r="EN27" s="560">
        <v>949.5</v>
      </c>
      <c r="EO27" s="560">
        <v>970.6</v>
      </c>
      <c r="EP27" s="560">
        <v>1025.5</v>
      </c>
      <c r="EQ27" s="560">
        <v>1041.2</v>
      </c>
      <c r="ER27" s="560">
        <v>1060.9000000000001</v>
      </c>
      <c r="ES27" s="560">
        <v>1095.8</v>
      </c>
      <c r="ET27" s="560">
        <v>1146</v>
      </c>
      <c r="EU27" s="560">
        <v>1163.9000000000001</v>
      </c>
      <c r="EV27" s="560">
        <v>1179.3</v>
      </c>
      <c r="EW27" s="560">
        <v>1194.4000000000001</v>
      </c>
      <c r="EX27" s="560">
        <v>1201.7</v>
      </c>
      <c r="EY27" s="560">
        <v>1191.3</v>
      </c>
      <c r="EZ27" s="560">
        <v>1173.7</v>
      </c>
      <c r="FA27" s="560">
        <v>1139.8</v>
      </c>
      <c r="FB27" s="560">
        <v>921.2</v>
      </c>
      <c r="FC27" s="560">
        <v>855.5</v>
      </c>
      <c r="FD27" s="560">
        <v>842</v>
      </c>
      <c r="FE27" s="560">
        <v>847.5</v>
      </c>
      <c r="FF27" s="560">
        <v>903.4</v>
      </c>
      <c r="FG27" s="560">
        <v>935.2</v>
      </c>
      <c r="FH27" s="560">
        <v>958.5</v>
      </c>
      <c r="FI27" s="560">
        <v>977.2</v>
      </c>
      <c r="FJ27" s="560">
        <v>1111.4000000000001</v>
      </c>
      <c r="FK27" s="560">
        <v>1126.5</v>
      </c>
      <c r="FL27" s="560">
        <v>1144.2</v>
      </c>
      <c r="FM27" s="560">
        <v>1141</v>
      </c>
      <c r="FN27" s="560">
        <v>1138.3</v>
      </c>
      <c r="FO27" s="560">
        <v>1150.5999999999999</v>
      </c>
      <c r="FP27" s="560">
        <v>1163.8</v>
      </c>
      <c r="FQ27" s="560">
        <v>1212.9000000000001</v>
      </c>
      <c r="FR27" s="560">
        <v>1273.5</v>
      </c>
      <c r="FS27" s="560">
        <v>1296.4000000000001</v>
      </c>
      <c r="FT27" s="560">
        <v>1308.3</v>
      </c>
      <c r="FU27" s="560">
        <v>1333.2</v>
      </c>
      <c r="FV27" s="560">
        <v>1369.1</v>
      </c>
      <c r="FW27" s="560">
        <v>1389</v>
      </c>
      <c r="FX27" s="560">
        <v>1413.3</v>
      </c>
      <c r="FY27" s="560">
        <v>1443.5</v>
      </c>
      <c r="FZ27" s="560">
        <v>1509.1</v>
      </c>
      <c r="GA27" s="560">
        <v>1527.7</v>
      </c>
      <c r="GB27" s="560">
        <v>1540.9</v>
      </c>
      <c r="GC27" s="560">
        <v>1552.6</v>
      </c>
      <c r="GD27" s="560">
        <v>1526.8</v>
      </c>
      <c r="GE27" s="560">
        <v>1536.7</v>
      </c>
      <c r="GF27" s="560">
        <v>1553.8</v>
      </c>
      <c r="GG27" s="560">
        <v>1574.5</v>
      </c>
      <c r="GH27" s="560">
        <v>1580.3</v>
      </c>
      <c r="GI27" s="560">
        <v>1600.7</v>
      </c>
      <c r="GJ27" s="560">
        <v>1623.8</v>
      </c>
      <c r="GK27" s="560">
        <v>1649.4</v>
      </c>
      <c r="GL27" s="560">
        <v>1597.2</v>
      </c>
      <c r="GM27" s="560">
        <v>1607.4</v>
      </c>
      <c r="GN27" s="560">
        <v>1627.1</v>
      </c>
      <c r="GO27" s="560">
        <v>1634.1</v>
      </c>
      <c r="GP27" s="560">
        <v>1696.4</v>
      </c>
      <c r="GQ27" s="560">
        <v>1701.9</v>
      </c>
      <c r="GR27" s="560">
        <v>1707.8</v>
      </c>
      <c r="GS27" s="560">
        <v>1728.6</v>
      </c>
      <c r="GT27" s="560">
        <v>1737.9</v>
      </c>
      <c r="GU27" s="560">
        <v>1581.5</v>
      </c>
      <c r="GV27" s="560">
        <v>1662.2</v>
      </c>
      <c r="GW27" s="560">
        <v>1736.9</v>
      </c>
      <c r="GX27" s="560">
        <v>1851.9</v>
      </c>
      <c r="GY27" s="560">
        <v>1927.2</v>
      </c>
    </row>
    <row r="28" spans="1:207">
      <c r="A28" s="560" t="s">
        <v>224</v>
      </c>
      <c r="B28" s="560">
        <v>17.899999999999999</v>
      </c>
      <c r="C28" s="560">
        <v>18.100000000000001</v>
      </c>
      <c r="D28" s="560">
        <v>18.2</v>
      </c>
      <c r="E28" s="560">
        <v>18.2</v>
      </c>
      <c r="F28" s="560">
        <v>19.399999999999999</v>
      </c>
      <c r="G28" s="560">
        <v>18.7</v>
      </c>
      <c r="H28" s="560">
        <v>18.899999999999999</v>
      </c>
      <c r="I28" s="560">
        <v>19</v>
      </c>
      <c r="J28" s="560">
        <v>18.2</v>
      </c>
      <c r="K28" s="560">
        <v>18.3</v>
      </c>
      <c r="L28" s="560">
        <v>18.5</v>
      </c>
      <c r="M28" s="560">
        <v>19</v>
      </c>
      <c r="N28" s="560">
        <v>19.5</v>
      </c>
      <c r="O28" s="560">
        <v>19.899999999999999</v>
      </c>
      <c r="P28" s="560">
        <v>19.7</v>
      </c>
      <c r="Q28" s="560">
        <v>20.100000000000001</v>
      </c>
      <c r="R28" s="560">
        <v>19.8</v>
      </c>
      <c r="S28" s="560">
        <v>20.100000000000001</v>
      </c>
      <c r="T28" s="560">
        <v>20.2</v>
      </c>
      <c r="U28" s="560">
        <v>20.2</v>
      </c>
      <c r="V28" s="560">
        <v>19.8</v>
      </c>
      <c r="W28" s="560">
        <v>21.3</v>
      </c>
      <c r="X28" s="560">
        <v>23.3</v>
      </c>
      <c r="Y28" s="560">
        <v>23.9</v>
      </c>
      <c r="Z28" s="560">
        <v>20.8</v>
      </c>
      <c r="AA28" s="560">
        <v>21.3</v>
      </c>
      <c r="AB28" s="560">
        <v>21.7</v>
      </c>
      <c r="AC28" s="560">
        <v>21.7</v>
      </c>
      <c r="AD28" s="560">
        <v>22</v>
      </c>
      <c r="AE28" s="560">
        <v>22.5</v>
      </c>
      <c r="AF28" s="560">
        <v>23.2</v>
      </c>
      <c r="AG28" s="560">
        <v>23.2</v>
      </c>
      <c r="AH28" s="560">
        <v>24</v>
      </c>
      <c r="AI28" s="560">
        <v>25.4</v>
      </c>
      <c r="AJ28" s="560">
        <v>25.5</v>
      </c>
      <c r="AK28" s="560">
        <v>26.3</v>
      </c>
      <c r="AL28" s="560">
        <v>25.9</v>
      </c>
      <c r="AM28" s="560">
        <v>25.9</v>
      </c>
      <c r="AN28" s="560">
        <v>25.3</v>
      </c>
      <c r="AO28" s="560">
        <v>25.6</v>
      </c>
      <c r="AP28" s="560">
        <v>27.6</v>
      </c>
      <c r="AQ28" s="560">
        <v>33.6</v>
      </c>
      <c r="AR28" s="560">
        <v>36.1</v>
      </c>
      <c r="AS28" s="560">
        <v>37.299999999999997</v>
      </c>
      <c r="AT28" s="560">
        <v>50.7</v>
      </c>
      <c r="AU28" s="560">
        <v>51.8</v>
      </c>
      <c r="AV28" s="560">
        <v>49.1</v>
      </c>
      <c r="AW28" s="560">
        <v>48.1</v>
      </c>
      <c r="AX28" s="560">
        <v>43.5</v>
      </c>
      <c r="AY28" s="560">
        <v>40</v>
      </c>
      <c r="AZ28" s="560">
        <v>40.1</v>
      </c>
      <c r="BA28" s="560">
        <v>40.299999999999997</v>
      </c>
      <c r="BB28" s="560">
        <v>41.1</v>
      </c>
      <c r="BC28" s="560">
        <v>45.3</v>
      </c>
      <c r="BD28" s="560">
        <v>45.5</v>
      </c>
      <c r="BE28" s="560">
        <v>45.8</v>
      </c>
      <c r="BF28" s="560">
        <v>47</v>
      </c>
      <c r="BG28" s="560">
        <v>47.5</v>
      </c>
      <c r="BH28" s="560">
        <v>47.4</v>
      </c>
      <c r="BI28" s="560">
        <v>47.3</v>
      </c>
      <c r="BJ28" s="560">
        <v>46.4</v>
      </c>
      <c r="BK28" s="560">
        <v>45.7</v>
      </c>
      <c r="BL28" s="560">
        <v>46.8</v>
      </c>
      <c r="BM28" s="560">
        <v>45.4</v>
      </c>
      <c r="BN28" s="560">
        <v>44.5</v>
      </c>
      <c r="BO28" s="560">
        <v>42.9</v>
      </c>
      <c r="BP28" s="560">
        <v>43.8</v>
      </c>
      <c r="BQ28" s="560">
        <v>43.6</v>
      </c>
      <c r="BR28" s="560">
        <v>44.1</v>
      </c>
      <c r="BS28" s="560">
        <v>45.8</v>
      </c>
      <c r="BT28" s="560">
        <v>46.4</v>
      </c>
      <c r="BU28" s="560">
        <v>47.4</v>
      </c>
      <c r="BV28" s="560">
        <v>49.6</v>
      </c>
      <c r="BW28" s="560">
        <v>49.3</v>
      </c>
      <c r="BX28" s="560">
        <v>50.2</v>
      </c>
      <c r="BY28" s="560">
        <v>50.2</v>
      </c>
      <c r="BZ28" s="560">
        <v>50.8</v>
      </c>
      <c r="CA28" s="560">
        <v>49.2</v>
      </c>
      <c r="CB28" s="560">
        <v>50</v>
      </c>
      <c r="CC28" s="560">
        <v>48.9</v>
      </c>
      <c r="CD28" s="560">
        <v>50.3</v>
      </c>
      <c r="CE28" s="560">
        <v>50.8</v>
      </c>
      <c r="CF28" s="560">
        <v>51.1</v>
      </c>
      <c r="CG28" s="560">
        <v>51.5</v>
      </c>
      <c r="CH28" s="560">
        <v>59.7</v>
      </c>
      <c r="CI28" s="560">
        <v>61.3</v>
      </c>
      <c r="CJ28" s="560">
        <v>61.8</v>
      </c>
      <c r="CK28" s="560">
        <v>64.2</v>
      </c>
      <c r="CL28" s="560">
        <v>63.6</v>
      </c>
      <c r="CM28" s="560">
        <v>63.1</v>
      </c>
      <c r="CN28" s="560">
        <v>61.9</v>
      </c>
      <c r="CO28" s="560">
        <v>64.599999999999994</v>
      </c>
      <c r="CP28" s="560">
        <v>62.2</v>
      </c>
      <c r="CQ28" s="560">
        <v>64.8</v>
      </c>
      <c r="CR28" s="560">
        <v>65.400000000000006</v>
      </c>
      <c r="CS28" s="560">
        <v>73.099999999999994</v>
      </c>
      <c r="CT28" s="560">
        <v>75.5</v>
      </c>
      <c r="CU28" s="560">
        <v>78.599999999999994</v>
      </c>
      <c r="CV28" s="560">
        <v>80.5</v>
      </c>
      <c r="CW28" s="560">
        <v>81.400000000000006</v>
      </c>
      <c r="CX28" s="560">
        <v>76.599999999999994</v>
      </c>
      <c r="CY28" s="560">
        <v>75.7</v>
      </c>
      <c r="CZ28" s="560">
        <v>75.400000000000006</v>
      </c>
      <c r="DA28" s="560">
        <v>74.5</v>
      </c>
      <c r="DB28" s="560">
        <v>72.599999999999994</v>
      </c>
      <c r="DC28" s="560">
        <v>71.2</v>
      </c>
      <c r="DD28" s="560">
        <v>71.7</v>
      </c>
      <c r="DE28" s="560">
        <v>75.900000000000006</v>
      </c>
      <c r="DF28" s="560">
        <v>72</v>
      </c>
      <c r="DG28" s="560">
        <v>79.7</v>
      </c>
      <c r="DH28" s="560">
        <v>79.900000000000006</v>
      </c>
      <c r="DI28" s="560">
        <v>79.7</v>
      </c>
      <c r="DJ28" s="560">
        <v>79.5</v>
      </c>
      <c r="DK28" s="560">
        <v>80.099999999999994</v>
      </c>
      <c r="DL28" s="560">
        <v>81.5</v>
      </c>
      <c r="DM28" s="560">
        <v>81.7</v>
      </c>
      <c r="DN28" s="560">
        <v>81.3</v>
      </c>
      <c r="DO28" s="560">
        <v>81.599999999999994</v>
      </c>
      <c r="DP28" s="560">
        <v>83.8</v>
      </c>
      <c r="DQ28" s="560">
        <v>87</v>
      </c>
      <c r="DR28" s="560">
        <v>86.1</v>
      </c>
      <c r="DS28" s="560">
        <v>88.4</v>
      </c>
      <c r="DT28" s="560">
        <v>87.5</v>
      </c>
      <c r="DU28" s="560">
        <v>87</v>
      </c>
      <c r="DV28" s="560">
        <v>87.1</v>
      </c>
      <c r="DW28" s="560">
        <v>86.3</v>
      </c>
      <c r="DX28" s="560">
        <v>83.6</v>
      </c>
      <c r="DY28" s="560">
        <v>84.1</v>
      </c>
      <c r="DZ28" s="560">
        <v>84.7</v>
      </c>
      <c r="EA28" s="560">
        <v>87.3</v>
      </c>
      <c r="EB28" s="560">
        <v>88</v>
      </c>
      <c r="EC28" s="560">
        <v>87.3</v>
      </c>
      <c r="ED28" s="560">
        <v>90.1</v>
      </c>
      <c r="EE28" s="560">
        <v>90</v>
      </c>
      <c r="EF28" s="560">
        <v>89.6</v>
      </c>
      <c r="EG28" s="560">
        <v>91.1</v>
      </c>
      <c r="EH28" s="560">
        <v>94.1</v>
      </c>
      <c r="EI28" s="560">
        <v>94.8</v>
      </c>
      <c r="EJ28" s="560">
        <v>95.9</v>
      </c>
      <c r="EK28" s="560">
        <v>96.2</v>
      </c>
      <c r="EL28" s="560">
        <v>97.2</v>
      </c>
      <c r="EM28" s="560">
        <v>101.4</v>
      </c>
      <c r="EN28" s="560">
        <v>100.3</v>
      </c>
      <c r="EO28" s="560">
        <v>98.7</v>
      </c>
      <c r="EP28" s="560">
        <v>99.1</v>
      </c>
      <c r="EQ28" s="560">
        <v>99.5</v>
      </c>
      <c r="ER28" s="560">
        <v>100.2</v>
      </c>
      <c r="ES28" s="560">
        <v>98.1</v>
      </c>
      <c r="ET28" s="560">
        <v>93.9</v>
      </c>
      <c r="EU28" s="560">
        <v>93.7</v>
      </c>
      <c r="EV28" s="560">
        <v>95.4</v>
      </c>
      <c r="EW28" s="560">
        <v>95.5</v>
      </c>
      <c r="EX28" s="560">
        <v>93.2</v>
      </c>
      <c r="EY28" s="560">
        <v>95.3</v>
      </c>
      <c r="EZ28" s="560">
        <v>93.7</v>
      </c>
      <c r="FA28" s="560">
        <v>93.7</v>
      </c>
      <c r="FB28" s="560">
        <v>86.7</v>
      </c>
      <c r="FC28" s="560">
        <v>94.3</v>
      </c>
      <c r="FD28" s="560">
        <v>91.4</v>
      </c>
      <c r="FE28" s="560">
        <v>93.2</v>
      </c>
      <c r="FF28" s="560">
        <v>93.1</v>
      </c>
      <c r="FG28" s="560">
        <v>96.4</v>
      </c>
      <c r="FH28" s="560">
        <v>98.9</v>
      </c>
      <c r="FI28" s="560">
        <v>98.7</v>
      </c>
      <c r="FJ28" s="560">
        <v>104.7</v>
      </c>
      <c r="FK28" s="560">
        <v>109.1</v>
      </c>
      <c r="FL28" s="560">
        <v>109.4</v>
      </c>
      <c r="FM28" s="560">
        <v>111.4</v>
      </c>
      <c r="FN28" s="560">
        <v>113.9</v>
      </c>
      <c r="FO28" s="560">
        <v>114.4</v>
      </c>
      <c r="FP28" s="560">
        <v>114.7</v>
      </c>
      <c r="FQ28" s="560">
        <v>117.6</v>
      </c>
      <c r="FR28" s="560">
        <v>122.3</v>
      </c>
      <c r="FS28" s="560">
        <v>124.4</v>
      </c>
      <c r="FT28" s="560">
        <v>126.4</v>
      </c>
      <c r="FU28" s="560">
        <v>128.80000000000001</v>
      </c>
      <c r="FV28" s="560">
        <v>136.6</v>
      </c>
      <c r="FW28" s="560">
        <v>135.30000000000001</v>
      </c>
      <c r="FX28" s="560">
        <v>136.9</v>
      </c>
      <c r="FY28" s="560">
        <v>136.4</v>
      </c>
      <c r="FZ28" s="560">
        <v>139.9</v>
      </c>
      <c r="GA28" s="560">
        <v>143.5</v>
      </c>
      <c r="GB28" s="560">
        <v>136.1</v>
      </c>
      <c r="GC28" s="560">
        <v>141.69999999999999</v>
      </c>
      <c r="GD28" s="560">
        <v>138.19999999999999</v>
      </c>
      <c r="GE28" s="560">
        <v>135.69999999999999</v>
      </c>
      <c r="GF28" s="560">
        <v>136</v>
      </c>
      <c r="GG28" s="560">
        <v>136.1</v>
      </c>
      <c r="GH28" s="560">
        <v>127.7</v>
      </c>
      <c r="GI28" s="560">
        <v>132.30000000000001</v>
      </c>
      <c r="GJ28" s="560">
        <v>131.9</v>
      </c>
      <c r="GK28" s="560">
        <v>134.5</v>
      </c>
      <c r="GL28" s="560">
        <v>150.9</v>
      </c>
      <c r="GM28" s="560">
        <v>157.4</v>
      </c>
      <c r="GN28" s="560">
        <v>162.5</v>
      </c>
      <c r="GO28" s="560">
        <v>183.7</v>
      </c>
      <c r="GP28" s="560">
        <v>173.4</v>
      </c>
      <c r="GQ28" s="560">
        <v>172.2</v>
      </c>
      <c r="GR28" s="560">
        <v>175.3</v>
      </c>
      <c r="GS28" s="560">
        <v>177.9</v>
      </c>
      <c r="GT28" s="560">
        <v>185.8</v>
      </c>
      <c r="GU28" s="560">
        <v>138.30000000000001</v>
      </c>
      <c r="GV28" s="560">
        <v>151.30000000000001</v>
      </c>
      <c r="GW28" s="560">
        <v>156.6</v>
      </c>
      <c r="GX28" s="560">
        <v>166.2</v>
      </c>
      <c r="GY28" s="560">
        <v>177.6</v>
      </c>
    </row>
    <row r="29" spans="1:207">
      <c r="A29" s="560" t="s">
        <v>225</v>
      </c>
      <c r="B29" s="560">
        <v>27</v>
      </c>
      <c r="C29" s="560">
        <v>27</v>
      </c>
      <c r="D29" s="560">
        <v>27.9</v>
      </c>
      <c r="E29" s="560">
        <v>26.6</v>
      </c>
      <c r="F29" s="560">
        <v>29.9</v>
      </c>
      <c r="G29" s="560">
        <v>30.7</v>
      </c>
      <c r="H29" s="560">
        <v>29.8</v>
      </c>
      <c r="I29" s="560">
        <v>30.1</v>
      </c>
      <c r="J29" s="560">
        <v>31.8</v>
      </c>
      <c r="K29" s="560">
        <v>32</v>
      </c>
      <c r="L29" s="560">
        <v>33.1</v>
      </c>
      <c r="M29" s="560">
        <v>36.6</v>
      </c>
      <c r="N29" s="560">
        <v>39.299999999999997</v>
      </c>
      <c r="O29" s="560">
        <v>39.4</v>
      </c>
      <c r="P29" s="560">
        <v>37.6</v>
      </c>
      <c r="Q29" s="560">
        <v>39.4</v>
      </c>
      <c r="R29" s="560">
        <v>37.4</v>
      </c>
      <c r="S29" s="560">
        <v>39.299999999999997</v>
      </c>
      <c r="T29" s="560">
        <v>43.5</v>
      </c>
      <c r="U29" s="560">
        <v>38.1</v>
      </c>
      <c r="V29" s="560">
        <v>31.5</v>
      </c>
      <c r="W29" s="560">
        <v>34.200000000000003</v>
      </c>
      <c r="X29" s="560">
        <v>43.2</v>
      </c>
      <c r="Y29" s="560">
        <v>43.9</v>
      </c>
      <c r="Z29" s="560">
        <v>49.9</v>
      </c>
      <c r="AA29" s="560">
        <v>49</v>
      </c>
      <c r="AB29" s="560">
        <v>48.5</v>
      </c>
      <c r="AC29" s="560">
        <v>47.5</v>
      </c>
      <c r="AD29" s="560">
        <v>51</v>
      </c>
      <c r="AE29" s="560">
        <v>55.7</v>
      </c>
      <c r="AF29" s="560">
        <v>57.9</v>
      </c>
      <c r="AG29" s="560">
        <v>58.1</v>
      </c>
      <c r="AH29" s="560">
        <v>54.4</v>
      </c>
      <c r="AI29" s="560">
        <v>66.2</v>
      </c>
      <c r="AJ29" s="560">
        <v>66.7</v>
      </c>
      <c r="AK29" s="560">
        <v>70.3</v>
      </c>
      <c r="AL29" s="560">
        <v>66.599999999999994</v>
      </c>
      <c r="AM29" s="560">
        <v>66.5</v>
      </c>
      <c r="AN29" s="560">
        <v>65.3</v>
      </c>
      <c r="AO29" s="560">
        <v>62.1</v>
      </c>
      <c r="AP29" s="560">
        <v>67</v>
      </c>
      <c r="AQ29" s="560">
        <v>49.8</v>
      </c>
      <c r="AR29" s="560">
        <v>56</v>
      </c>
      <c r="AS29" s="560">
        <v>61.7</v>
      </c>
      <c r="AT29" s="560">
        <v>58.5</v>
      </c>
      <c r="AU29" s="560">
        <v>50.7</v>
      </c>
      <c r="AV29" s="560">
        <v>52.7</v>
      </c>
      <c r="AW29" s="560">
        <v>44.8</v>
      </c>
      <c r="AX29" s="560">
        <v>33.5</v>
      </c>
      <c r="AY29" s="560">
        <v>34.700000000000003</v>
      </c>
      <c r="AZ29" s="560">
        <v>35.4</v>
      </c>
      <c r="BA29" s="560">
        <v>31.7</v>
      </c>
      <c r="BB29" s="560">
        <v>34.299999999999997</v>
      </c>
      <c r="BC29" s="560">
        <v>46.3</v>
      </c>
      <c r="BD29" s="560">
        <v>53.3</v>
      </c>
      <c r="BE29" s="560">
        <v>54.6</v>
      </c>
      <c r="BF29" s="560">
        <v>64.8</v>
      </c>
      <c r="BG29" s="560">
        <v>63.8</v>
      </c>
      <c r="BH29" s="560">
        <v>53.8</v>
      </c>
      <c r="BI29" s="560">
        <v>54.3</v>
      </c>
      <c r="BJ29" s="560">
        <v>57.7</v>
      </c>
      <c r="BK29" s="560">
        <v>56.3</v>
      </c>
      <c r="BL29" s="560">
        <v>60.8</v>
      </c>
      <c r="BM29" s="560">
        <v>59</v>
      </c>
      <c r="BN29" s="560">
        <v>63</v>
      </c>
      <c r="BO29" s="560">
        <v>63.4</v>
      </c>
      <c r="BP29" s="560">
        <v>64.599999999999994</v>
      </c>
      <c r="BQ29" s="560">
        <v>73.099999999999994</v>
      </c>
      <c r="BR29" s="560">
        <v>76</v>
      </c>
      <c r="BS29" s="560">
        <v>87.3</v>
      </c>
      <c r="BT29" s="560">
        <v>91.3</v>
      </c>
      <c r="BU29" s="560">
        <v>87.1</v>
      </c>
      <c r="BV29" s="560">
        <v>84.5</v>
      </c>
      <c r="BW29" s="560">
        <v>90</v>
      </c>
      <c r="BX29" s="560">
        <v>97.8</v>
      </c>
      <c r="BY29" s="560">
        <v>102.7</v>
      </c>
      <c r="BZ29" s="560">
        <v>104.9</v>
      </c>
      <c r="CA29" s="560">
        <v>94.4</v>
      </c>
      <c r="CB29" s="560">
        <v>91.6</v>
      </c>
      <c r="CC29" s="560">
        <v>91.4</v>
      </c>
      <c r="CD29" s="560">
        <v>91.1</v>
      </c>
      <c r="CE29" s="560">
        <v>94.7</v>
      </c>
      <c r="CF29" s="560">
        <v>97</v>
      </c>
      <c r="CG29" s="560">
        <v>95.4</v>
      </c>
      <c r="CH29" s="560">
        <v>91.5</v>
      </c>
      <c r="CI29" s="560">
        <v>87.5</v>
      </c>
      <c r="CJ29" s="560">
        <v>88.2</v>
      </c>
      <c r="CK29" s="560">
        <v>89.5</v>
      </c>
      <c r="CL29" s="560">
        <v>99.8</v>
      </c>
      <c r="CM29" s="560">
        <v>102</v>
      </c>
      <c r="CN29" s="560">
        <v>98.9</v>
      </c>
      <c r="CO29" s="560">
        <v>107.2</v>
      </c>
      <c r="CP29" s="560">
        <v>111.5</v>
      </c>
      <c r="CQ29" s="560">
        <v>121.9</v>
      </c>
      <c r="CR29" s="560">
        <v>115.5</v>
      </c>
      <c r="CS29" s="560">
        <v>141</v>
      </c>
      <c r="CT29" s="560">
        <v>122.4</v>
      </c>
      <c r="CU29" s="560">
        <v>129.30000000000001</v>
      </c>
      <c r="CV29" s="560">
        <v>142.4</v>
      </c>
      <c r="CW29" s="560">
        <v>150.9</v>
      </c>
      <c r="CX29" s="560">
        <v>155.30000000000001</v>
      </c>
      <c r="CY29" s="560">
        <v>153.1</v>
      </c>
      <c r="CZ29" s="560">
        <v>159.1</v>
      </c>
      <c r="DA29" s="560">
        <v>156.19999999999999</v>
      </c>
      <c r="DB29" s="560">
        <v>162.4</v>
      </c>
      <c r="DC29" s="560">
        <v>171.9</v>
      </c>
      <c r="DD29" s="560">
        <v>172.6</v>
      </c>
      <c r="DE29" s="560">
        <v>175.3</v>
      </c>
      <c r="DF29" s="560">
        <v>176.9</v>
      </c>
      <c r="DG29" s="560">
        <v>180.5</v>
      </c>
      <c r="DH29" s="560">
        <v>190.5</v>
      </c>
      <c r="DI29" s="560">
        <v>181.5</v>
      </c>
      <c r="DJ29" s="560">
        <v>178.8</v>
      </c>
      <c r="DK29" s="560">
        <v>175.4</v>
      </c>
      <c r="DL29" s="560">
        <v>180.1</v>
      </c>
      <c r="DM29" s="560">
        <v>176.4</v>
      </c>
      <c r="DN29" s="560">
        <v>186</v>
      </c>
      <c r="DO29" s="560">
        <v>184.4</v>
      </c>
      <c r="DP29" s="560">
        <v>187.7</v>
      </c>
      <c r="DQ29" s="560">
        <v>192.1</v>
      </c>
      <c r="DR29" s="560">
        <v>202.2</v>
      </c>
      <c r="DS29" s="560">
        <v>201.1</v>
      </c>
      <c r="DT29" s="560">
        <v>185.6</v>
      </c>
      <c r="DU29" s="560">
        <v>187.6</v>
      </c>
      <c r="DV29" s="560">
        <v>154.9</v>
      </c>
      <c r="DW29" s="560">
        <v>148.69999999999999</v>
      </c>
      <c r="DX29" s="560">
        <v>130.9</v>
      </c>
      <c r="DY29" s="560">
        <v>115.8</v>
      </c>
      <c r="DZ29" s="560">
        <v>115.5</v>
      </c>
      <c r="EA29" s="560">
        <v>119.9</v>
      </c>
      <c r="EB29" s="560">
        <v>126.5</v>
      </c>
      <c r="EC29" s="560">
        <v>142</v>
      </c>
      <c r="ED29" s="560">
        <v>161.5</v>
      </c>
      <c r="EE29" s="560">
        <v>160.9</v>
      </c>
      <c r="EF29" s="560">
        <v>180.3</v>
      </c>
      <c r="EG29" s="560">
        <v>200.4</v>
      </c>
      <c r="EH29" s="560">
        <v>209.2</v>
      </c>
      <c r="EI29" s="560">
        <v>226</v>
      </c>
      <c r="EJ29" s="560">
        <v>244.5</v>
      </c>
      <c r="EK29" s="560">
        <v>249.2</v>
      </c>
      <c r="EL29" s="560">
        <v>315.3</v>
      </c>
      <c r="EM29" s="560">
        <v>306.10000000000002</v>
      </c>
      <c r="EN29" s="560">
        <v>311.89999999999998</v>
      </c>
      <c r="EO29" s="560">
        <v>344.7</v>
      </c>
      <c r="EP29" s="560">
        <v>357.2</v>
      </c>
      <c r="EQ29" s="560">
        <v>367.3</v>
      </c>
      <c r="ER29" s="560">
        <v>384.8</v>
      </c>
      <c r="ES29" s="560">
        <v>354.6</v>
      </c>
      <c r="ET29" s="560">
        <v>354.5</v>
      </c>
      <c r="EU29" s="560">
        <v>347.7</v>
      </c>
      <c r="EV29" s="560">
        <v>314.60000000000002</v>
      </c>
      <c r="EW29" s="560">
        <v>296.2</v>
      </c>
      <c r="EX29" s="560">
        <v>241.7</v>
      </c>
      <c r="EY29" s="560">
        <v>227.1</v>
      </c>
      <c r="EZ29" s="560">
        <v>211.5</v>
      </c>
      <c r="FA29" s="560">
        <v>127.5</v>
      </c>
      <c r="FB29" s="560">
        <v>122.7</v>
      </c>
      <c r="FC29" s="560">
        <v>138.9</v>
      </c>
      <c r="FD29" s="560">
        <v>159.4</v>
      </c>
      <c r="FE29" s="560">
        <v>190.8</v>
      </c>
      <c r="FF29" s="560">
        <v>204.7</v>
      </c>
      <c r="FG29" s="560">
        <v>212.2</v>
      </c>
      <c r="FH29" s="560">
        <v>227.1</v>
      </c>
      <c r="FI29" s="560">
        <v>233.6</v>
      </c>
      <c r="FJ29" s="560">
        <v>228.9</v>
      </c>
      <c r="FK29" s="560">
        <v>227.2</v>
      </c>
      <c r="FL29" s="560">
        <v>201.7</v>
      </c>
      <c r="FM29" s="560">
        <v>238</v>
      </c>
      <c r="FN29" s="560">
        <v>261.5</v>
      </c>
      <c r="FO29" s="560">
        <v>275.5</v>
      </c>
      <c r="FP29" s="560">
        <v>280.8</v>
      </c>
      <c r="FQ29" s="560">
        <v>280.89999999999998</v>
      </c>
      <c r="FR29" s="560">
        <v>297</v>
      </c>
      <c r="FS29" s="560">
        <v>293.2</v>
      </c>
      <c r="FT29" s="560">
        <v>301.2</v>
      </c>
      <c r="FU29" s="560">
        <v>302.3</v>
      </c>
      <c r="FV29" s="560">
        <v>336.4</v>
      </c>
      <c r="FW29" s="560">
        <v>360</v>
      </c>
      <c r="FX29" s="560">
        <v>330.1</v>
      </c>
      <c r="FY29" s="560">
        <v>332.1</v>
      </c>
      <c r="FZ29" s="560">
        <v>345.9</v>
      </c>
      <c r="GA29" s="560">
        <v>351</v>
      </c>
      <c r="GB29" s="560">
        <v>323.8</v>
      </c>
      <c r="GC29" s="560">
        <v>295.60000000000002</v>
      </c>
      <c r="GD29" s="560">
        <v>310.60000000000002</v>
      </c>
      <c r="GE29" s="560">
        <v>315.2</v>
      </c>
      <c r="GF29" s="560">
        <v>322</v>
      </c>
      <c r="GG29" s="560">
        <v>299.60000000000002</v>
      </c>
      <c r="GH29" s="560">
        <v>233.3</v>
      </c>
      <c r="GI29" s="560">
        <v>241.6</v>
      </c>
      <c r="GJ29" s="560">
        <v>255.4</v>
      </c>
      <c r="GK29" s="560">
        <v>251.3</v>
      </c>
      <c r="GL29" s="560">
        <v>189.2</v>
      </c>
      <c r="GM29" s="560">
        <v>210.3</v>
      </c>
      <c r="GN29" s="560">
        <v>213.3</v>
      </c>
      <c r="GO29" s="560">
        <v>222.5</v>
      </c>
      <c r="GP29" s="560">
        <v>211.3</v>
      </c>
      <c r="GQ29" s="560">
        <v>218.9</v>
      </c>
      <c r="GR29" s="560">
        <v>206.5</v>
      </c>
      <c r="GS29" s="560">
        <v>231.4</v>
      </c>
      <c r="GT29" s="560">
        <v>166.7</v>
      </c>
      <c r="GU29" s="560">
        <v>167.4</v>
      </c>
      <c r="GV29" s="560">
        <v>211.7</v>
      </c>
      <c r="GW29" s="560">
        <v>225.1</v>
      </c>
      <c r="GX29" s="560">
        <v>246.4</v>
      </c>
      <c r="GY29" s="560">
        <v>261.2</v>
      </c>
    </row>
    <row r="30" spans="1:207">
      <c r="A30" s="560" t="s">
        <v>226</v>
      </c>
      <c r="B30" s="560">
        <v>45.1</v>
      </c>
      <c r="C30" s="560">
        <v>45.4</v>
      </c>
      <c r="D30" s="560">
        <v>45.9</v>
      </c>
      <c r="E30" s="560">
        <v>45.6</v>
      </c>
      <c r="F30" s="560">
        <v>49.6</v>
      </c>
      <c r="G30" s="560">
        <v>50.2</v>
      </c>
      <c r="H30" s="560">
        <v>50.5</v>
      </c>
      <c r="I30" s="560">
        <v>51</v>
      </c>
      <c r="J30" s="560">
        <v>57.3</v>
      </c>
      <c r="K30" s="560">
        <v>57.9</v>
      </c>
      <c r="L30" s="560">
        <v>58.5</v>
      </c>
      <c r="M30" s="560">
        <v>59.4</v>
      </c>
      <c r="N30" s="560">
        <v>72.7</v>
      </c>
      <c r="O30" s="560">
        <v>73.8</v>
      </c>
      <c r="P30" s="560">
        <v>75.099999999999994</v>
      </c>
      <c r="Q30" s="560">
        <v>76.599999999999994</v>
      </c>
      <c r="R30" s="560">
        <v>82.1</v>
      </c>
      <c r="S30" s="560">
        <v>83.6</v>
      </c>
      <c r="T30" s="560">
        <v>85.2</v>
      </c>
      <c r="U30" s="560">
        <v>85.4</v>
      </c>
      <c r="V30" s="560">
        <v>86.5</v>
      </c>
      <c r="W30" s="560">
        <v>86.8</v>
      </c>
      <c r="X30" s="560">
        <v>88.5</v>
      </c>
      <c r="Y30" s="560">
        <v>90.5</v>
      </c>
      <c r="Z30" s="560">
        <v>97.5</v>
      </c>
      <c r="AA30" s="560">
        <v>98.9</v>
      </c>
      <c r="AB30" s="560">
        <v>100.6</v>
      </c>
      <c r="AC30" s="560">
        <v>102.1</v>
      </c>
      <c r="AD30" s="560">
        <v>107.5</v>
      </c>
      <c r="AE30" s="560">
        <v>110.1</v>
      </c>
      <c r="AF30" s="560">
        <v>112.2</v>
      </c>
      <c r="AG30" s="560">
        <v>114.4</v>
      </c>
      <c r="AH30" s="560">
        <v>121.6</v>
      </c>
      <c r="AI30" s="560">
        <v>126.5</v>
      </c>
      <c r="AJ30" s="560">
        <v>130.80000000000001</v>
      </c>
      <c r="AK30" s="560">
        <v>136</v>
      </c>
      <c r="AL30" s="560">
        <v>143.1</v>
      </c>
      <c r="AM30" s="560">
        <v>147.4</v>
      </c>
      <c r="AN30" s="560">
        <v>152.4</v>
      </c>
      <c r="AO30" s="560">
        <v>156.30000000000001</v>
      </c>
      <c r="AP30" s="560">
        <v>159.30000000000001</v>
      </c>
      <c r="AQ30" s="560">
        <v>161</v>
      </c>
      <c r="AR30" s="560">
        <v>164.2</v>
      </c>
      <c r="AS30" s="560">
        <v>170.1</v>
      </c>
      <c r="AT30" s="560">
        <v>187.3</v>
      </c>
      <c r="AU30" s="560">
        <v>190.9</v>
      </c>
      <c r="AV30" s="560">
        <v>195.6</v>
      </c>
      <c r="AW30" s="560">
        <v>198.2</v>
      </c>
      <c r="AX30" s="560">
        <v>203.2</v>
      </c>
      <c r="AY30" s="560">
        <v>205.2</v>
      </c>
      <c r="AZ30" s="560">
        <v>207.5</v>
      </c>
      <c r="BA30" s="560">
        <v>208.3</v>
      </c>
      <c r="BB30" s="560">
        <v>216.1</v>
      </c>
      <c r="BC30" s="560">
        <v>220.2</v>
      </c>
      <c r="BD30" s="560">
        <v>224.8</v>
      </c>
      <c r="BE30" s="560">
        <v>231.2</v>
      </c>
      <c r="BF30" s="560">
        <v>246.3</v>
      </c>
      <c r="BG30" s="560">
        <v>252.1</v>
      </c>
      <c r="BH30" s="560">
        <v>257.10000000000002</v>
      </c>
      <c r="BI30" s="560">
        <v>261.10000000000002</v>
      </c>
      <c r="BJ30" s="560">
        <v>271</v>
      </c>
      <c r="BK30" s="560">
        <v>275</v>
      </c>
      <c r="BL30" s="560">
        <v>279.7</v>
      </c>
      <c r="BM30" s="560">
        <v>285.89999999999998</v>
      </c>
      <c r="BN30" s="560">
        <v>292.7</v>
      </c>
      <c r="BO30" s="560">
        <v>296.10000000000002</v>
      </c>
      <c r="BP30" s="560">
        <v>300.8</v>
      </c>
      <c r="BQ30" s="560">
        <v>306.2</v>
      </c>
      <c r="BR30" s="560">
        <v>310.7</v>
      </c>
      <c r="BS30" s="560">
        <v>314.5</v>
      </c>
      <c r="BT30" s="560">
        <v>319</v>
      </c>
      <c r="BU30" s="560">
        <v>325.60000000000002</v>
      </c>
      <c r="BV30" s="560">
        <v>344.7</v>
      </c>
      <c r="BW30" s="560">
        <v>351.7</v>
      </c>
      <c r="BX30" s="560">
        <v>357.7</v>
      </c>
      <c r="BY30" s="560">
        <v>365</v>
      </c>
      <c r="BZ30" s="560">
        <v>370.9</v>
      </c>
      <c r="CA30" s="560">
        <v>375.4</v>
      </c>
      <c r="CB30" s="560">
        <v>379.8</v>
      </c>
      <c r="CC30" s="560">
        <v>385.6</v>
      </c>
      <c r="CD30" s="560">
        <v>394</v>
      </c>
      <c r="CE30" s="560">
        <v>399</v>
      </c>
      <c r="CF30" s="560">
        <v>406.4</v>
      </c>
      <c r="CG30" s="560">
        <v>408.9</v>
      </c>
      <c r="CH30" s="560">
        <v>412</v>
      </c>
      <c r="CI30" s="560">
        <v>418.3</v>
      </c>
      <c r="CJ30" s="560">
        <v>423.7</v>
      </c>
      <c r="CK30" s="560">
        <v>428.4</v>
      </c>
      <c r="CL30" s="560">
        <v>439.9</v>
      </c>
      <c r="CM30" s="560">
        <v>445.1</v>
      </c>
      <c r="CN30" s="560">
        <v>447.9</v>
      </c>
      <c r="CO30" s="560">
        <v>442.9</v>
      </c>
      <c r="CP30" s="560">
        <v>462.1</v>
      </c>
      <c r="CQ30" s="560">
        <v>462.4</v>
      </c>
      <c r="CR30" s="560">
        <v>466.8</v>
      </c>
      <c r="CS30" s="560">
        <v>470.8</v>
      </c>
      <c r="CT30" s="560">
        <v>485.8</v>
      </c>
      <c r="CU30" s="560">
        <v>493</v>
      </c>
      <c r="CV30" s="560">
        <v>499</v>
      </c>
      <c r="CW30" s="560">
        <v>506.8</v>
      </c>
      <c r="CX30" s="560">
        <v>514.20000000000005</v>
      </c>
      <c r="CY30" s="560">
        <v>519</v>
      </c>
      <c r="CZ30" s="560">
        <v>524.6</v>
      </c>
      <c r="DA30" s="560">
        <v>529.9</v>
      </c>
      <c r="DB30" s="560">
        <v>532.9</v>
      </c>
      <c r="DC30" s="560">
        <v>541.70000000000005</v>
      </c>
      <c r="DD30" s="560">
        <v>549.5</v>
      </c>
      <c r="DE30" s="560">
        <v>557.5</v>
      </c>
      <c r="DF30" s="560">
        <v>566</v>
      </c>
      <c r="DG30" s="560">
        <v>574</v>
      </c>
      <c r="DH30" s="560">
        <v>582.9</v>
      </c>
      <c r="DI30" s="560">
        <v>594.79999999999995</v>
      </c>
      <c r="DJ30" s="560">
        <v>602.79999999999995</v>
      </c>
      <c r="DK30" s="560">
        <v>612.29999999999995</v>
      </c>
      <c r="DL30" s="560">
        <v>622.20000000000005</v>
      </c>
      <c r="DM30" s="560">
        <v>632.20000000000005</v>
      </c>
      <c r="DN30" s="560">
        <v>643.5</v>
      </c>
      <c r="DO30" s="560">
        <v>649.29999999999995</v>
      </c>
      <c r="DP30" s="560">
        <v>656.7</v>
      </c>
      <c r="DQ30" s="560">
        <v>669.8</v>
      </c>
      <c r="DR30" s="560">
        <v>689.4</v>
      </c>
      <c r="DS30" s="560">
        <v>691.5</v>
      </c>
      <c r="DT30" s="560">
        <v>704.2</v>
      </c>
      <c r="DU30" s="560">
        <v>709.2</v>
      </c>
      <c r="DV30" s="560">
        <v>723.4</v>
      </c>
      <c r="DW30" s="560">
        <v>723.4</v>
      </c>
      <c r="DX30" s="560">
        <v>722</v>
      </c>
      <c r="DY30" s="560">
        <v>724.2</v>
      </c>
      <c r="DZ30" s="560">
        <v>732</v>
      </c>
      <c r="EA30" s="560">
        <v>739.9</v>
      </c>
      <c r="EB30" s="560">
        <v>742</v>
      </c>
      <c r="EC30" s="560">
        <v>743.8</v>
      </c>
      <c r="ED30" s="560">
        <v>749.1</v>
      </c>
      <c r="EE30" s="560">
        <v>758.6</v>
      </c>
      <c r="EF30" s="560">
        <v>767.2</v>
      </c>
      <c r="EG30" s="560">
        <v>778.2</v>
      </c>
      <c r="EH30" s="560">
        <v>790</v>
      </c>
      <c r="EI30" s="560">
        <v>803.5</v>
      </c>
      <c r="EJ30" s="560">
        <v>818.4</v>
      </c>
      <c r="EK30" s="560">
        <v>824</v>
      </c>
      <c r="EL30" s="560">
        <v>837.4</v>
      </c>
      <c r="EM30" s="560">
        <v>846</v>
      </c>
      <c r="EN30" s="560">
        <v>859.8</v>
      </c>
      <c r="EO30" s="560">
        <v>870.4</v>
      </c>
      <c r="EP30" s="560">
        <v>895.1</v>
      </c>
      <c r="EQ30" s="560">
        <v>900.8</v>
      </c>
      <c r="ER30" s="560">
        <v>906.2</v>
      </c>
      <c r="ES30" s="560">
        <v>920.6</v>
      </c>
      <c r="ET30" s="560">
        <v>940.9</v>
      </c>
      <c r="EU30" s="560">
        <v>943.1</v>
      </c>
      <c r="EV30" s="560">
        <v>946.7</v>
      </c>
      <c r="EW30" s="560">
        <v>958.4</v>
      </c>
      <c r="EX30" s="560">
        <v>970.2</v>
      </c>
      <c r="EY30" s="560">
        <v>972.3</v>
      </c>
      <c r="EZ30" s="560">
        <v>977.6</v>
      </c>
      <c r="FA30" s="560">
        <v>977.8</v>
      </c>
      <c r="FB30" s="560">
        <v>946</v>
      </c>
      <c r="FC30" s="560">
        <v>952.6</v>
      </c>
      <c r="FD30" s="560">
        <v>950.3</v>
      </c>
      <c r="FE30" s="560">
        <v>953.9</v>
      </c>
      <c r="FF30" s="560">
        <v>960.6</v>
      </c>
      <c r="FG30" s="560">
        <v>971.7</v>
      </c>
      <c r="FH30" s="560">
        <v>974.6</v>
      </c>
      <c r="FI30" s="560">
        <v>976.6</v>
      </c>
      <c r="FJ30" s="560">
        <v>898.3</v>
      </c>
      <c r="FK30" s="560">
        <v>900.9</v>
      </c>
      <c r="FL30" s="560">
        <v>909.4</v>
      </c>
      <c r="FM30" s="560">
        <v>904.2</v>
      </c>
      <c r="FN30" s="560">
        <v>927.5</v>
      </c>
      <c r="FO30" s="560">
        <v>932.2</v>
      </c>
      <c r="FP30" s="560">
        <v>935.2</v>
      </c>
      <c r="FQ30" s="560">
        <v>957</v>
      </c>
      <c r="FR30" s="560">
        <v>1078.5999999999999</v>
      </c>
      <c r="FS30" s="560">
        <v>1090.7</v>
      </c>
      <c r="FT30" s="560">
        <v>1093.5999999999999</v>
      </c>
      <c r="FU30" s="560">
        <v>1104.2</v>
      </c>
      <c r="FV30" s="560">
        <v>1126.5999999999999</v>
      </c>
      <c r="FW30" s="560">
        <v>1131</v>
      </c>
      <c r="FX30" s="560">
        <v>1142.5</v>
      </c>
      <c r="FY30" s="560">
        <v>1160.0999999999999</v>
      </c>
      <c r="FZ30" s="560">
        <v>1175.2</v>
      </c>
      <c r="GA30" s="560">
        <v>1187</v>
      </c>
      <c r="GB30" s="560">
        <v>1196.8</v>
      </c>
      <c r="GC30" s="560">
        <v>1204.0999999999999</v>
      </c>
      <c r="GD30" s="560">
        <v>1211</v>
      </c>
      <c r="GE30" s="560">
        <v>1217</v>
      </c>
      <c r="GF30" s="560">
        <v>1228</v>
      </c>
      <c r="GG30" s="560">
        <v>1241.5</v>
      </c>
      <c r="GH30" s="560">
        <v>1262.5</v>
      </c>
      <c r="GI30" s="560">
        <v>1275.0999999999999</v>
      </c>
      <c r="GJ30" s="560">
        <v>1290.2</v>
      </c>
      <c r="GK30" s="560">
        <v>1308.9000000000001</v>
      </c>
      <c r="GL30" s="560">
        <v>1328.5</v>
      </c>
      <c r="GM30" s="560">
        <v>1338</v>
      </c>
      <c r="GN30" s="560">
        <v>1353.9</v>
      </c>
      <c r="GO30" s="560">
        <v>1361.4</v>
      </c>
      <c r="GP30" s="560">
        <v>1392.4</v>
      </c>
      <c r="GQ30" s="560">
        <v>1399.3</v>
      </c>
      <c r="GR30" s="560">
        <v>1406.9</v>
      </c>
      <c r="GS30" s="560">
        <v>1426.4</v>
      </c>
      <c r="GT30" s="560">
        <v>1457.1</v>
      </c>
      <c r="GU30" s="560">
        <v>1391.6</v>
      </c>
      <c r="GV30" s="560">
        <v>1443.8</v>
      </c>
      <c r="GW30" s="560">
        <v>1486</v>
      </c>
      <c r="GX30" s="560">
        <v>1517.9</v>
      </c>
      <c r="GY30" s="560">
        <v>1542.1</v>
      </c>
    </row>
    <row r="31" spans="1:207">
      <c r="A31" s="560" t="s">
        <v>227</v>
      </c>
      <c r="B31" s="560">
        <v>48.3</v>
      </c>
      <c r="C31" s="560">
        <v>57.5</v>
      </c>
      <c r="D31" s="560">
        <v>56.9</v>
      </c>
      <c r="E31" s="560">
        <v>59.8</v>
      </c>
      <c r="F31" s="560">
        <v>61</v>
      </c>
      <c r="G31" s="560">
        <v>67.900000000000006</v>
      </c>
      <c r="H31" s="560">
        <v>67.2</v>
      </c>
      <c r="I31" s="560">
        <v>68.2</v>
      </c>
      <c r="J31" s="560">
        <v>70.2</v>
      </c>
      <c r="K31" s="560">
        <v>70.2</v>
      </c>
      <c r="L31" s="560">
        <v>70.3</v>
      </c>
      <c r="M31" s="560">
        <v>80.599999999999994</v>
      </c>
      <c r="N31" s="560">
        <v>82.2</v>
      </c>
      <c r="O31" s="560">
        <v>83.6</v>
      </c>
      <c r="P31" s="560">
        <v>85.1</v>
      </c>
      <c r="Q31" s="560">
        <v>87.3</v>
      </c>
      <c r="R31" s="560">
        <v>94.1</v>
      </c>
      <c r="S31" s="560">
        <v>100.7</v>
      </c>
      <c r="T31" s="560">
        <v>106.4</v>
      </c>
      <c r="U31" s="560">
        <v>112</v>
      </c>
      <c r="V31" s="560">
        <v>120.5</v>
      </c>
      <c r="W31" s="560">
        <v>134.19999999999999</v>
      </c>
      <c r="X31" s="560">
        <v>136.80000000000001</v>
      </c>
      <c r="Y31" s="560">
        <v>137.80000000000001</v>
      </c>
      <c r="Z31" s="560">
        <v>141.30000000000001</v>
      </c>
      <c r="AA31" s="560">
        <v>139.6</v>
      </c>
      <c r="AB31" s="560">
        <v>145.4</v>
      </c>
      <c r="AC31" s="560">
        <v>147.69999999999999</v>
      </c>
      <c r="AD31" s="560">
        <v>149.80000000000001</v>
      </c>
      <c r="AE31" s="560">
        <v>148.9</v>
      </c>
      <c r="AF31" s="560">
        <v>154.4</v>
      </c>
      <c r="AG31" s="560">
        <v>156.6</v>
      </c>
      <c r="AH31" s="560">
        <v>158.5</v>
      </c>
      <c r="AI31" s="560">
        <v>158</v>
      </c>
      <c r="AJ31" s="560">
        <v>165.9</v>
      </c>
      <c r="AK31" s="560">
        <v>168.3</v>
      </c>
      <c r="AL31" s="560">
        <v>172.5</v>
      </c>
      <c r="AM31" s="560">
        <v>175.7</v>
      </c>
      <c r="AN31" s="560">
        <v>190.1</v>
      </c>
      <c r="AO31" s="560">
        <v>193.8</v>
      </c>
      <c r="AP31" s="560">
        <v>202.1</v>
      </c>
      <c r="AQ31" s="560">
        <v>207.3</v>
      </c>
      <c r="AR31" s="560">
        <v>235.4</v>
      </c>
      <c r="AS31" s="560">
        <v>236.4</v>
      </c>
      <c r="AT31" s="560">
        <v>240.5</v>
      </c>
      <c r="AU31" s="560">
        <v>241.6</v>
      </c>
      <c r="AV31" s="560">
        <v>259.3</v>
      </c>
      <c r="AW31" s="560">
        <v>261.5</v>
      </c>
      <c r="AX31" s="560">
        <v>265.2</v>
      </c>
      <c r="AY31" s="560">
        <v>272.2</v>
      </c>
      <c r="AZ31" s="560">
        <v>287.5</v>
      </c>
      <c r="BA31" s="560">
        <v>302.60000000000002</v>
      </c>
      <c r="BB31" s="560">
        <v>302.2</v>
      </c>
      <c r="BC31" s="560">
        <v>307.39999999999998</v>
      </c>
      <c r="BD31" s="560">
        <v>301.3</v>
      </c>
      <c r="BE31" s="560">
        <v>303.5</v>
      </c>
      <c r="BF31" s="560">
        <v>306.39999999999998</v>
      </c>
      <c r="BG31" s="560">
        <v>308.39999999999998</v>
      </c>
      <c r="BH31" s="560">
        <v>309.10000000000002</v>
      </c>
      <c r="BI31" s="560">
        <v>315.10000000000002</v>
      </c>
      <c r="BJ31" s="560">
        <v>323.2</v>
      </c>
      <c r="BK31" s="560">
        <v>324.2</v>
      </c>
      <c r="BL31" s="560">
        <v>327.5</v>
      </c>
      <c r="BM31" s="560">
        <v>328.5</v>
      </c>
      <c r="BN31" s="560">
        <v>338.3</v>
      </c>
      <c r="BO31" s="560">
        <v>342</v>
      </c>
      <c r="BP31" s="560">
        <v>347.8</v>
      </c>
      <c r="BQ31" s="560">
        <v>348.9</v>
      </c>
      <c r="BR31" s="560">
        <v>353.6</v>
      </c>
      <c r="BS31" s="560">
        <v>357.6</v>
      </c>
      <c r="BT31" s="560">
        <v>357.9</v>
      </c>
      <c r="BU31" s="560">
        <v>359.7</v>
      </c>
      <c r="BV31" s="560">
        <v>375</v>
      </c>
      <c r="BW31" s="560">
        <v>376.1</v>
      </c>
      <c r="BX31" s="560">
        <v>379.3</v>
      </c>
      <c r="BY31" s="560">
        <v>383</v>
      </c>
      <c r="BZ31" s="560">
        <v>403.9</v>
      </c>
      <c r="CA31" s="560">
        <v>408.3</v>
      </c>
      <c r="CB31" s="560">
        <v>413.7</v>
      </c>
      <c r="CC31" s="560">
        <v>420.9</v>
      </c>
      <c r="CD31" s="560">
        <v>437.5</v>
      </c>
      <c r="CE31" s="560">
        <v>443.4</v>
      </c>
      <c r="CF31" s="560">
        <v>447.9</v>
      </c>
      <c r="CG31" s="560">
        <v>459.4</v>
      </c>
      <c r="CH31" s="560">
        <v>481</v>
      </c>
      <c r="CI31" s="560">
        <v>491.3</v>
      </c>
      <c r="CJ31" s="560">
        <v>495.1</v>
      </c>
      <c r="CK31" s="560">
        <v>508.5</v>
      </c>
      <c r="CL31" s="560">
        <v>540</v>
      </c>
      <c r="CM31" s="560">
        <v>550.5</v>
      </c>
      <c r="CN31" s="560">
        <v>555.5</v>
      </c>
      <c r="CO31" s="560">
        <v>561.1</v>
      </c>
      <c r="CP31" s="560">
        <v>577.6</v>
      </c>
      <c r="CQ31" s="560">
        <v>582</v>
      </c>
      <c r="CR31" s="560">
        <v>585.70000000000005</v>
      </c>
      <c r="CS31" s="560">
        <v>589.6</v>
      </c>
      <c r="CT31" s="560">
        <v>601.79999999999995</v>
      </c>
      <c r="CU31" s="560">
        <v>606.20000000000005</v>
      </c>
      <c r="CV31" s="560">
        <v>610</v>
      </c>
      <c r="CW31" s="560">
        <v>618.1</v>
      </c>
      <c r="CX31" s="560">
        <v>637.6</v>
      </c>
      <c r="CY31" s="560">
        <v>644.9</v>
      </c>
      <c r="CZ31" s="560">
        <v>650</v>
      </c>
      <c r="DA31" s="560">
        <v>655.8</v>
      </c>
      <c r="DB31" s="560">
        <v>675</v>
      </c>
      <c r="DC31" s="560">
        <v>680.7</v>
      </c>
      <c r="DD31" s="560">
        <v>683.7</v>
      </c>
      <c r="DE31" s="560">
        <v>688.9</v>
      </c>
      <c r="DF31" s="560">
        <v>704.5</v>
      </c>
      <c r="DG31" s="560">
        <v>707.5</v>
      </c>
      <c r="DH31" s="560">
        <v>709.2</v>
      </c>
      <c r="DI31" s="560">
        <v>710.2</v>
      </c>
      <c r="DJ31" s="560">
        <v>719.7</v>
      </c>
      <c r="DK31" s="560">
        <v>720.7</v>
      </c>
      <c r="DL31" s="560">
        <v>723.5</v>
      </c>
      <c r="DM31" s="560">
        <v>724.7</v>
      </c>
      <c r="DN31" s="560">
        <v>735.5</v>
      </c>
      <c r="DO31" s="560">
        <v>738.6</v>
      </c>
      <c r="DP31" s="560">
        <v>741.1</v>
      </c>
      <c r="DQ31" s="560">
        <v>744.2</v>
      </c>
      <c r="DR31" s="560">
        <v>756.8</v>
      </c>
      <c r="DS31" s="560">
        <v>772.9</v>
      </c>
      <c r="DT31" s="560">
        <v>777.5</v>
      </c>
      <c r="DU31" s="560">
        <v>786.5</v>
      </c>
      <c r="DV31" s="560">
        <v>817.3</v>
      </c>
      <c r="DW31" s="560">
        <v>831</v>
      </c>
      <c r="DX31" s="560">
        <v>849.4</v>
      </c>
      <c r="DY31" s="560">
        <v>865.2</v>
      </c>
      <c r="DZ31" s="560">
        <v>895</v>
      </c>
      <c r="EA31" s="560">
        <v>921</v>
      </c>
      <c r="EB31" s="560">
        <v>925.2</v>
      </c>
      <c r="EC31" s="560">
        <v>930.8</v>
      </c>
      <c r="ED31" s="560">
        <v>947.7</v>
      </c>
      <c r="EE31" s="560">
        <v>964.3</v>
      </c>
      <c r="EF31" s="560">
        <v>973.7</v>
      </c>
      <c r="EG31" s="560">
        <v>984.3</v>
      </c>
      <c r="EH31" s="560">
        <v>1003.6</v>
      </c>
      <c r="EI31" s="560">
        <v>1013.5</v>
      </c>
      <c r="EJ31" s="560">
        <v>1024.0999999999999</v>
      </c>
      <c r="EK31" s="560">
        <v>1036.9000000000001</v>
      </c>
      <c r="EL31" s="560">
        <v>1065.3</v>
      </c>
      <c r="EM31" s="560">
        <v>1076</v>
      </c>
      <c r="EN31" s="560">
        <v>1091.8</v>
      </c>
      <c r="EO31" s="560">
        <v>1104.4000000000001</v>
      </c>
      <c r="EP31" s="560">
        <v>1172.7</v>
      </c>
      <c r="EQ31" s="560">
        <v>1184</v>
      </c>
      <c r="ER31" s="560">
        <v>1194.0999999999999</v>
      </c>
      <c r="ES31" s="560">
        <v>1205.5999999999999</v>
      </c>
      <c r="ET31" s="560">
        <v>1240.0999999999999</v>
      </c>
      <c r="EU31" s="560">
        <v>1256.7</v>
      </c>
      <c r="EV31" s="560">
        <v>1270.2</v>
      </c>
      <c r="EW31" s="560">
        <v>1286.3</v>
      </c>
      <c r="EX31" s="560">
        <v>1321.9</v>
      </c>
      <c r="EY31" s="560">
        <v>1657</v>
      </c>
      <c r="EZ31" s="560">
        <v>1445.3</v>
      </c>
      <c r="FA31" s="560">
        <v>1428.7</v>
      </c>
      <c r="FB31" s="560">
        <v>1521.8</v>
      </c>
      <c r="FC31" s="560">
        <v>1648</v>
      </c>
      <c r="FD31" s="560">
        <v>1634.5</v>
      </c>
      <c r="FE31" s="560">
        <v>1653.9</v>
      </c>
      <c r="FF31" s="560">
        <v>1753.5</v>
      </c>
      <c r="FG31" s="560">
        <v>1755.7</v>
      </c>
      <c r="FH31" s="560">
        <v>1758.8</v>
      </c>
      <c r="FI31" s="560">
        <v>1761.9</v>
      </c>
      <c r="FJ31" s="560">
        <v>1768.6</v>
      </c>
      <c r="FK31" s="560">
        <v>1777.4</v>
      </c>
      <c r="FL31" s="560">
        <v>1782.4</v>
      </c>
      <c r="FM31" s="560">
        <v>1789.3</v>
      </c>
      <c r="FN31" s="560">
        <v>1772.9</v>
      </c>
      <c r="FO31" s="560">
        <v>1777.5</v>
      </c>
      <c r="FP31" s="560">
        <v>1783.6</v>
      </c>
      <c r="FQ31" s="560">
        <v>1793.4</v>
      </c>
      <c r="FR31" s="560">
        <v>1817.3</v>
      </c>
      <c r="FS31" s="560">
        <v>1815.5</v>
      </c>
      <c r="FT31" s="560">
        <v>1823.2</v>
      </c>
      <c r="FU31" s="560">
        <v>1830.1</v>
      </c>
      <c r="FV31" s="560">
        <v>1848.1</v>
      </c>
      <c r="FW31" s="560">
        <v>1876.8</v>
      </c>
      <c r="FX31" s="560">
        <v>1890.5</v>
      </c>
      <c r="FY31" s="560">
        <v>1909</v>
      </c>
      <c r="FZ31" s="560">
        <v>1945.5</v>
      </c>
      <c r="GA31" s="560">
        <v>1966.6</v>
      </c>
      <c r="GB31" s="560">
        <v>1977.6</v>
      </c>
      <c r="GC31" s="560">
        <v>1989.7</v>
      </c>
      <c r="GD31" s="560">
        <v>2006.2</v>
      </c>
      <c r="GE31" s="560">
        <v>2018</v>
      </c>
      <c r="GF31" s="560">
        <v>2029.1</v>
      </c>
      <c r="GG31" s="560">
        <v>2043.5</v>
      </c>
      <c r="GH31" s="560">
        <v>2074.9</v>
      </c>
      <c r="GI31" s="560">
        <v>2088.5</v>
      </c>
      <c r="GJ31" s="560">
        <v>2106.8000000000002</v>
      </c>
      <c r="GK31" s="560">
        <v>2124.9</v>
      </c>
      <c r="GL31" s="560">
        <v>2172.9</v>
      </c>
      <c r="GM31" s="560">
        <v>2186.8000000000002</v>
      </c>
      <c r="GN31" s="560">
        <v>2203.5</v>
      </c>
      <c r="GO31" s="560">
        <v>2222.3000000000002</v>
      </c>
      <c r="GP31" s="560">
        <v>2298.1</v>
      </c>
      <c r="GQ31" s="560">
        <v>2315.5</v>
      </c>
      <c r="GR31" s="560">
        <v>2333.1999999999998</v>
      </c>
      <c r="GS31" s="560">
        <v>2350.8000000000002</v>
      </c>
      <c r="GT31" s="560">
        <v>2417.9</v>
      </c>
      <c r="GU31" s="560">
        <v>4766.7</v>
      </c>
      <c r="GV31" s="560">
        <v>3468.3</v>
      </c>
      <c r="GW31" s="560">
        <v>2839.1</v>
      </c>
      <c r="GX31" s="560">
        <v>5070.6000000000004</v>
      </c>
      <c r="GY31" s="560">
        <v>3367.3</v>
      </c>
    </row>
    <row r="32" spans="1:207">
      <c r="A32" s="560" t="s">
        <v>228</v>
      </c>
      <c r="B32" s="560">
        <v>16.600000000000001</v>
      </c>
      <c r="C32" s="560">
        <v>17.899999999999999</v>
      </c>
      <c r="D32" s="560">
        <v>19.2</v>
      </c>
      <c r="E32" s="560">
        <v>19.8</v>
      </c>
      <c r="F32" s="560">
        <v>20.5</v>
      </c>
      <c r="G32" s="560">
        <v>22.1</v>
      </c>
      <c r="H32" s="560">
        <v>22.4</v>
      </c>
      <c r="I32" s="560">
        <v>23.7</v>
      </c>
      <c r="J32" s="560">
        <v>24.4</v>
      </c>
      <c r="K32" s="560">
        <v>32.700000000000003</v>
      </c>
      <c r="L32" s="560">
        <v>25.6</v>
      </c>
      <c r="M32" s="560">
        <v>39.299999999999997</v>
      </c>
      <c r="N32" s="560">
        <v>34.299999999999997</v>
      </c>
      <c r="O32" s="560">
        <v>33.4</v>
      </c>
      <c r="P32" s="560">
        <v>32.6</v>
      </c>
      <c r="Q32" s="560">
        <v>33.6</v>
      </c>
      <c r="R32" s="560">
        <v>33.299999999999997</v>
      </c>
      <c r="S32" s="560">
        <v>34.1</v>
      </c>
      <c r="T32" s="560">
        <v>35.4</v>
      </c>
      <c r="U32" s="560">
        <v>36.799999999999997</v>
      </c>
      <c r="V32" s="560">
        <v>39.299999999999997</v>
      </c>
      <c r="W32" s="560">
        <v>44.3</v>
      </c>
      <c r="X32" s="560">
        <v>45</v>
      </c>
      <c r="Y32" s="560">
        <v>45.9</v>
      </c>
      <c r="Z32" s="560">
        <v>47</v>
      </c>
      <c r="AA32" s="560">
        <v>47.8</v>
      </c>
      <c r="AB32" s="560">
        <v>48.7</v>
      </c>
      <c r="AC32" s="560">
        <v>52.7</v>
      </c>
      <c r="AD32" s="560">
        <v>50.7</v>
      </c>
      <c r="AE32" s="560">
        <v>53.7</v>
      </c>
      <c r="AF32" s="560">
        <v>57.3</v>
      </c>
      <c r="AG32" s="560">
        <v>57.3</v>
      </c>
      <c r="AH32" s="560">
        <v>61.5</v>
      </c>
      <c r="AI32" s="560">
        <v>64.099999999999994</v>
      </c>
      <c r="AJ32" s="560">
        <v>63.4</v>
      </c>
      <c r="AK32" s="560">
        <v>64.900000000000006</v>
      </c>
      <c r="AL32" s="560">
        <v>62.1</v>
      </c>
      <c r="AM32" s="560">
        <v>62.6</v>
      </c>
      <c r="AN32" s="560">
        <v>65.2</v>
      </c>
      <c r="AO32" s="560">
        <v>65.900000000000006</v>
      </c>
      <c r="AP32" s="560">
        <v>66.7</v>
      </c>
      <c r="AQ32" s="560">
        <v>68.2</v>
      </c>
      <c r="AR32" s="560">
        <v>70.7</v>
      </c>
      <c r="AS32" s="560">
        <v>73.099999999999994</v>
      </c>
      <c r="AT32" s="560">
        <v>71.5</v>
      </c>
      <c r="AU32" s="560">
        <v>71.400000000000006</v>
      </c>
      <c r="AV32" s="560">
        <v>68.8</v>
      </c>
      <c r="AW32" s="560">
        <v>66</v>
      </c>
      <c r="AX32" s="560">
        <v>65.8</v>
      </c>
      <c r="AY32" s="560">
        <v>67.3</v>
      </c>
      <c r="AZ32" s="560">
        <v>65.599999999999994</v>
      </c>
      <c r="BA32" s="560">
        <v>66.3</v>
      </c>
      <c r="BB32" s="560">
        <v>67.2</v>
      </c>
      <c r="BC32" s="560">
        <v>69.2</v>
      </c>
      <c r="BD32" s="560">
        <v>68.400000000000006</v>
      </c>
      <c r="BE32" s="560">
        <v>67</v>
      </c>
      <c r="BF32" s="560">
        <v>71.3</v>
      </c>
      <c r="BG32" s="560">
        <v>73.099999999999994</v>
      </c>
      <c r="BH32" s="560">
        <v>70.7</v>
      </c>
      <c r="BI32" s="560">
        <v>74.3</v>
      </c>
      <c r="BJ32" s="560">
        <v>74.8</v>
      </c>
      <c r="BK32" s="560">
        <v>75.3</v>
      </c>
      <c r="BL32" s="560">
        <v>76.400000000000006</v>
      </c>
      <c r="BM32" s="560">
        <v>78.099999999999994</v>
      </c>
      <c r="BN32" s="560">
        <v>79.7</v>
      </c>
      <c r="BO32" s="560">
        <v>83.8</v>
      </c>
      <c r="BP32" s="560">
        <v>86.7</v>
      </c>
      <c r="BQ32" s="560">
        <v>79.5</v>
      </c>
      <c r="BR32" s="560">
        <v>76.900000000000006</v>
      </c>
      <c r="BS32" s="560">
        <v>80.2</v>
      </c>
      <c r="BT32" s="560">
        <v>78.2</v>
      </c>
      <c r="BU32" s="560">
        <v>78.2</v>
      </c>
      <c r="BV32" s="560">
        <v>84.1</v>
      </c>
      <c r="BW32" s="560">
        <v>84.1</v>
      </c>
      <c r="BX32" s="560">
        <v>87</v>
      </c>
      <c r="BY32" s="560">
        <v>87.7</v>
      </c>
      <c r="BZ32" s="560">
        <v>88.7</v>
      </c>
      <c r="CA32" s="560">
        <v>89.1</v>
      </c>
      <c r="CB32" s="560">
        <v>95</v>
      </c>
      <c r="CC32" s="560">
        <v>94.5</v>
      </c>
      <c r="CD32" s="560">
        <v>99.9</v>
      </c>
      <c r="CE32" s="560">
        <v>103.2</v>
      </c>
      <c r="CF32" s="560">
        <v>105.5</v>
      </c>
      <c r="CG32" s="560">
        <v>108.8</v>
      </c>
      <c r="CH32" s="560">
        <v>115.6</v>
      </c>
      <c r="CI32" s="560">
        <v>120.5</v>
      </c>
      <c r="CJ32" s="560">
        <v>127</v>
      </c>
      <c r="CK32" s="560">
        <v>132.9</v>
      </c>
      <c r="CL32" s="560">
        <v>136.19999999999999</v>
      </c>
      <c r="CM32" s="560">
        <v>139</v>
      </c>
      <c r="CN32" s="560">
        <v>145</v>
      </c>
      <c r="CO32" s="560">
        <v>146.5</v>
      </c>
      <c r="CP32" s="560">
        <v>148.80000000000001</v>
      </c>
      <c r="CQ32" s="560">
        <v>151.4</v>
      </c>
      <c r="CR32" s="560">
        <v>157.19999999999999</v>
      </c>
      <c r="CS32" s="560">
        <v>165.5</v>
      </c>
      <c r="CT32" s="560">
        <v>162.4</v>
      </c>
      <c r="CU32" s="560">
        <v>164.9</v>
      </c>
      <c r="CV32" s="560">
        <v>167.3</v>
      </c>
      <c r="CW32" s="560">
        <v>172.8</v>
      </c>
      <c r="CX32" s="560">
        <v>175.6</v>
      </c>
      <c r="CY32" s="560">
        <v>174.8</v>
      </c>
      <c r="CZ32" s="560">
        <v>175.8</v>
      </c>
      <c r="DA32" s="560">
        <v>171.7</v>
      </c>
      <c r="DB32" s="560">
        <v>177.1</v>
      </c>
      <c r="DC32" s="560">
        <v>185.5</v>
      </c>
      <c r="DD32" s="560">
        <v>182.9</v>
      </c>
      <c r="DE32" s="560">
        <v>180.3</v>
      </c>
      <c r="DF32" s="560">
        <v>184.6</v>
      </c>
      <c r="DG32" s="560">
        <v>184.2</v>
      </c>
      <c r="DH32" s="560">
        <v>187.5</v>
      </c>
      <c r="DI32" s="560">
        <v>196.3</v>
      </c>
      <c r="DJ32" s="560">
        <v>197.3</v>
      </c>
      <c r="DK32" s="560">
        <v>197</v>
      </c>
      <c r="DL32" s="560">
        <v>201.8</v>
      </c>
      <c r="DM32" s="560">
        <v>207</v>
      </c>
      <c r="DN32" s="560">
        <v>214.7</v>
      </c>
      <c r="DO32" s="560">
        <v>211.8</v>
      </c>
      <c r="DP32" s="560">
        <v>223.1</v>
      </c>
      <c r="DQ32" s="560">
        <v>227</v>
      </c>
      <c r="DR32" s="560">
        <v>224.5</v>
      </c>
      <c r="DS32" s="560">
        <v>227.4</v>
      </c>
      <c r="DT32" s="560">
        <v>239.5</v>
      </c>
      <c r="DU32" s="560">
        <v>241.1</v>
      </c>
      <c r="DV32" s="560">
        <v>254</v>
      </c>
      <c r="DW32" s="560">
        <v>262.2</v>
      </c>
      <c r="DX32" s="560">
        <v>258.5</v>
      </c>
      <c r="DY32" s="560">
        <v>270.39999999999998</v>
      </c>
      <c r="DZ32" s="560">
        <v>277.3</v>
      </c>
      <c r="EA32" s="560">
        <v>285.7</v>
      </c>
      <c r="EB32" s="560">
        <v>294.3</v>
      </c>
      <c r="EC32" s="560">
        <v>297.39999999999998</v>
      </c>
      <c r="ED32" s="560">
        <v>299.60000000000002</v>
      </c>
      <c r="EE32" s="560">
        <v>323.3</v>
      </c>
      <c r="EF32" s="560">
        <v>329.6</v>
      </c>
      <c r="EG32" s="560">
        <v>334.3</v>
      </c>
      <c r="EH32" s="560">
        <v>328</v>
      </c>
      <c r="EI32" s="560">
        <v>332.8</v>
      </c>
      <c r="EJ32" s="560">
        <v>328.4</v>
      </c>
      <c r="EK32" s="560">
        <v>340</v>
      </c>
      <c r="EL32" s="560">
        <v>341.6</v>
      </c>
      <c r="EM32" s="560">
        <v>344.8</v>
      </c>
      <c r="EN32" s="560">
        <v>342.5</v>
      </c>
      <c r="EO32" s="560">
        <v>345.1</v>
      </c>
      <c r="EP32" s="560">
        <v>340</v>
      </c>
      <c r="EQ32" s="560">
        <v>341.5</v>
      </c>
      <c r="ER32" s="560">
        <v>347.9</v>
      </c>
      <c r="ES32" s="560">
        <v>334.7</v>
      </c>
      <c r="ET32" s="560">
        <v>358.4</v>
      </c>
      <c r="EU32" s="560">
        <v>359.4</v>
      </c>
      <c r="EV32" s="560">
        <v>359.8</v>
      </c>
      <c r="EW32" s="560">
        <v>358.9</v>
      </c>
      <c r="EX32" s="560">
        <v>365.7</v>
      </c>
      <c r="EY32" s="560">
        <v>371.5</v>
      </c>
      <c r="EZ32" s="560">
        <v>368.8</v>
      </c>
      <c r="FA32" s="560">
        <v>378.6</v>
      </c>
      <c r="FB32" s="560">
        <v>421.1</v>
      </c>
      <c r="FC32" s="560">
        <v>473.9</v>
      </c>
      <c r="FD32" s="560">
        <v>465.4</v>
      </c>
      <c r="FE32" s="560">
        <v>472.1</v>
      </c>
      <c r="FF32" s="560">
        <v>496.2</v>
      </c>
      <c r="FG32" s="560">
        <v>492.6</v>
      </c>
      <c r="FH32" s="560">
        <v>517.79999999999995</v>
      </c>
      <c r="FI32" s="560">
        <v>514.4</v>
      </c>
      <c r="FJ32" s="560">
        <v>500.5</v>
      </c>
      <c r="FK32" s="560">
        <v>503.4</v>
      </c>
      <c r="FL32" s="560">
        <v>448.3</v>
      </c>
      <c r="FM32" s="560">
        <v>437.7</v>
      </c>
      <c r="FN32" s="560">
        <v>441.7</v>
      </c>
      <c r="FO32" s="560">
        <v>447.9</v>
      </c>
      <c r="FP32" s="560">
        <v>440</v>
      </c>
      <c r="FQ32" s="560">
        <v>448.2</v>
      </c>
      <c r="FR32" s="560">
        <v>440</v>
      </c>
      <c r="FS32" s="560">
        <v>459.2</v>
      </c>
      <c r="FT32" s="560">
        <v>454</v>
      </c>
      <c r="FU32" s="560">
        <v>447.3</v>
      </c>
      <c r="FV32" s="560">
        <v>467.8</v>
      </c>
      <c r="FW32" s="560">
        <v>492.5</v>
      </c>
      <c r="FX32" s="560">
        <v>511.1</v>
      </c>
      <c r="FY32" s="560">
        <v>508.8</v>
      </c>
      <c r="FZ32" s="560">
        <v>524.79999999999995</v>
      </c>
      <c r="GA32" s="560">
        <v>528.9</v>
      </c>
      <c r="GB32" s="560">
        <v>530.4</v>
      </c>
      <c r="GC32" s="560">
        <v>548.20000000000005</v>
      </c>
      <c r="GD32" s="560">
        <v>544.4</v>
      </c>
      <c r="GE32" s="560">
        <v>546.6</v>
      </c>
      <c r="GF32" s="560">
        <v>562.79999999999995</v>
      </c>
      <c r="GG32" s="560">
        <v>573.1</v>
      </c>
      <c r="GH32" s="560">
        <v>563.29999999999995</v>
      </c>
      <c r="GI32" s="560">
        <v>539.70000000000005</v>
      </c>
      <c r="GJ32" s="560">
        <v>563</v>
      </c>
      <c r="GK32" s="560">
        <v>575.79999999999995</v>
      </c>
      <c r="GL32" s="560">
        <v>582.70000000000005</v>
      </c>
      <c r="GM32" s="560">
        <v>575.70000000000005</v>
      </c>
      <c r="GN32" s="560">
        <v>582.70000000000005</v>
      </c>
      <c r="GO32" s="560">
        <v>588.9</v>
      </c>
      <c r="GP32" s="560">
        <v>593.79999999999995</v>
      </c>
      <c r="GQ32" s="560">
        <v>610.5</v>
      </c>
      <c r="GR32" s="560">
        <v>610.4</v>
      </c>
      <c r="GS32" s="560">
        <v>622.4</v>
      </c>
      <c r="GT32" s="560">
        <v>640.6</v>
      </c>
      <c r="GU32" s="560">
        <v>1400</v>
      </c>
      <c r="GV32" s="560">
        <v>738.5</v>
      </c>
      <c r="GW32" s="560">
        <v>743</v>
      </c>
      <c r="GX32" s="560">
        <v>781.5</v>
      </c>
      <c r="GY32" s="560">
        <v>1632.2</v>
      </c>
    </row>
    <row r="33" spans="1:207">
      <c r="A33" s="560" t="s">
        <v>229</v>
      </c>
      <c r="B33" s="560">
        <v>14</v>
      </c>
      <c r="C33" s="560">
        <v>14.1</v>
      </c>
      <c r="D33" s="560">
        <v>14.3</v>
      </c>
      <c r="E33" s="560">
        <v>14.4</v>
      </c>
      <c r="F33" s="560">
        <v>14.7</v>
      </c>
      <c r="G33" s="560">
        <v>15.6</v>
      </c>
      <c r="H33" s="560">
        <v>16</v>
      </c>
      <c r="I33" s="560">
        <v>17.3</v>
      </c>
      <c r="J33" s="560">
        <v>19.5</v>
      </c>
      <c r="K33" s="560">
        <v>21</v>
      </c>
      <c r="L33" s="560">
        <v>21.2</v>
      </c>
      <c r="M33" s="560">
        <v>21.8</v>
      </c>
      <c r="N33" s="560">
        <v>21.9</v>
      </c>
      <c r="O33" s="560">
        <v>22.3</v>
      </c>
      <c r="P33" s="560">
        <v>23.1</v>
      </c>
      <c r="Q33" s="560">
        <v>24</v>
      </c>
      <c r="R33" s="560">
        <v>23.3</v>
      </c>
      <c r="S33" s="560">
        <v>24.1</v>
      </c>
      <c r="T33" s="560">
        <v>25.2</v>
      </c>
      <c r="U33" s="560">
        <v>25.6</v>
      </c>
      <c r="V33" s="560">
        <v>25.7</v>
      </c>
      <c r="W33" s="560">
        <v>26.5</v>
      </c>
      <c r="X33" s="560">
        <v>27.2</v>
      </c>
      <c r="Y33" s="560">
        <v>28.2</v>
      </c>
      <c r="Z33" s="560">
        <v>29.5</v>
      </c>
      <c r="AA33" s="560">
        <v>30.6</v>
      </c>
      <c r="AB33" s="560">
        <v>31.6</v>
      </c>
      <c r="AC33" s="560">
        <v>32.6</v>
      </c>
      <c r="AD33" s="560">
        <v>33.5</v>
      </c>
      <c r="AE33" s="560">
        <v>34.700000000000003</v>
      </c>
      <c r="AF33" s="560">
        <v>35.9</v>
      </c>
      <c r="AG33" s="560">
        <v>37.299999999999997</v>
      </c>
      <c r="AH33" s="560">
        <v>38.6</v>
      </c>
      <c r="AI33" s="560">
        <v>40.1</v>
      </c>
      <c r="AJ33" s="560">
        <v>40.9</v>
      </c>
      <c r="AK33" s="560">
        <v>42.1</v>
      </c>
      <c r="AL33" s="560">
        <v>42</v>
      </c>
      <c r="AM33" s="560">
        <v>42.1</v>
      </c>
      <c r="AN33" s="560">
        <v>45.4</v>
      </c>
      <c r="AO33" s="560">
        <v>46.6</v>
      </c>
      <c r="AP33" s="560">
        <v>46.6</v>
      </c>
      <c r="AQ33" s="560">
        <v>48</v>
      </c>
      <c r="AR33" s="560">
        <v>49.4</v>
      </c>
      <c r="AS33" s="560">
        <v>51.6</v>
      </c>
      <c r="AT33" s="560">
        <v>52.5</v>
      </c>
      <c r="AU33" s="560">
        <v>53.7</v>
      </c>
      <c r="AV33" s="560">
        <v>55.5</v>
      </c>
      <c r="AW33" s="560">
        <v>56.8</v>
      </c>
      <c r="AX33" s="560">
        <v>57.3</v>
      </c>
      <c r="AY33" s="560">
        <v>58.1</v>
      </c>
      <c r="AZ33" s="560">
        <v>60.4</v>
      </c>
      <c r="BA33" s="560">
        <v>60.8</v>
      </c>
      <c r="BB33" s="560">
        <v>61.3</v>
      </c>
      <c r="BC33" s="560">
        <v>64.3</v>
      </c>
      <c r="BD33" s="560">
        <v>68.099999999999994</v>
      </c>
      <c r="BE33" s="560">
        <v>70.7</v>
      </c>
      <c r="BF33" s="560">
        <v>73.3</v>
      </c>
      <c r="BG33" s="560">
        <v>75.8</v>
      </c>
      <c r="BH33" s="560">
        <v>76.8</v>
      </c>
      <c r="BI33" s="560">
        <v>78.2</v>
      </c>
      <c r="BJ33" s="560">
        <v>79.3</v>
      </c>
      <c r="BK33" s="560">
        <v>80.900000000000006</v>
      </c>
      <c r="BL33" s="560">
        <v>81.5</v>
      </c>
      <c r="BM33" s="560">
        <v>83.7</v>
      </c>
      <c r="BN33" s="560">
        <v>84.5</v>
      </c>
      <c r="BO33" s="560">
        <v>85</v>
      </c>
      <c r="BP33" s="560">
        <v>87.5</v>
      </c>
      <c r="BQ33" s="560">
        <v>91.8</v>
      </c>
      <c r="BR33" s="560">
        <v>92.4</v>
      </c>
      <c r="BS33" s="560">
        <v>101.5</v>
      </c>
      <c r="BT33" s="560">
        <v>94.1</v>
      </c>
      <c r="BU33" s="560">
        <v>98.4</v>
      </c>
      <c r="BV33" s="560">
        <v>99.4</v>
      </c>
      <c r="BW33" s="560">
        <v>97.2</v>
      </c>
      <c r="BX33" s="560">
        <v>104.1</v>
      </c>
      <c r="BY33" s="560">
        <v>107.6</v>
      </c>
      <c r="BZ33" s="560">
        <v>113.4</v>
      </c>
      <c r="CA33" s="560">
        <v>118.3</v>
      </c>
      <c r="CB33" s="560">
        <v>114.5</v>
      </c>
      <c r="CC33" s="560">
        <v>112.4</v>
      </c>
      <c r="CD33" s="560">
        <v>119.4</v>
      </c>
      <c r="CE33" s="560">
        <v>122.6</v>
      </c>
      <c r="CF33" s="560">
        <v>123.7</v>
      </c>
      <c r="CG33" s="560">
        <v>124.6</v>
      </c>
      <c r="CH33" s="560">
        <v>121.2</v>
      </c>
      <c r="CI33" s="560">
        <v>124.5</v>
      </c>
      <c r="CJ33" s="560">
        <v>126.1</v>
      </c>
      <c r="CK33" s="560">
        <v>129.5</v>
      </c>
      <c r="CL33" s="560">
        <v>127.6</v>
      </c>
      <c r="CM33" s="560">
        <v>136.9</v>
      </c>
      <c r="CN33" s="560">
        <v>136.80000000000001</v>
      </c>
      <c r="CO33" s="560">
        <v>140</v>
      </c>
      <c r="CP33" s="560">
        <v>136.69999999999999</v>
      </c>
      <c r="CQ33" s="560">
        <v>138.30000000000001</v>
      </c>
      <c r="CR33" s="560">
        <v>143.6</v>
      </c>
      <c r="CS33" s="560">
        <v>145.80000000000001</v>
      </c>
      <c r="CT33" s="560">
        <v>146.9</v>
      </c>
      <c r="CU33" s="560">
        <v>141.9</v>
      </c>
      <c r="CV33" s="560">
        <v>151.19999999999999</v>
      </c>
      <c r="CW33" s="560">
        <v>152</v>
      </c>
      <c r="CX33" s="560">
        <v>156.9</v>
      </c>
      <c r="CY33" s="560">
        <v>152.4</v>
      </c>
      <c r="CZ33" s="560">
        <v>160.69999999999999</v>
      </c>
      <c r="DA33" s="560">
        <v>162.4</v>
      </c>
      <c r="DB33" s="560">
        <v>165.3</v>
      </c>
      <c r="DC33" s="560">
        <v>165.9</v>
      </c>
      <c r="DD33" s="560">
        <v>169.3</v>
      </c>
      <c r="DE33" s="560">
        <v>174.1</v>
      </c>
      <c r="DF33" s="560">
        <v>177.8</v>
      </c>
      <c r="DG33" s="560">
        <v>176.9</v>
      </c>
      <c r="DH33" s="560">
        <v>184.1</v>
      </c>
      <c r="DI33" s="560">
        <v>189.2</v>
      </c>
      <c r="DJ33" s="560">
        <v>195.6</v>
      </c>
      <c r="DK33" s="560">
        <v>201.4</v>
      </c>
      <c r="DL33" s="560">
        <v>201.6</v>
      </c>
      <c r="DM33" s="560">
        <v>206.3</v>
      </c>
      <c r="DN33" s="560">
        <v>208.2</v>
      </c>
      <c r="DO33" s="560">
        <v>209.4</v>
      </c>
      <c r="DP33" s="560">
        <v>216.4</v>
      </c>
      <c r="DQ33" s="560">
        <v>224</v>
      </c>
      <c r="DR33" s="560">
        <v>232.2</v>
      </c>
      <c r="DS33" s="560">
        <v>243.3</v>
      </c>
      <c r="DT33" s="560">
        <v>236.6</v>
      </c>
      <c r="DU33" s="560">
        <v>234.8</v>
      </c>
      <c r="DV33" s="560">
        <v>250.9</v>
      </c>
      <c r="DW33" s="560">
        <v>259.89999999999998</v>
      </c>
      <c r="DX33" s="560">
        <v>231.9</v>
      </c>
      <c r="DY33" s="560">
        <v>229.3</v>
      </c>
      <c r="DZ33" s="560">
        <v>227.4</v>
      </c>
      <c r="EA33" s="560">
        <v>214.3</v>
      </c>
      <c r="EB33" s="560">
        <v>218.8</v>
      </c>
      <c r="EC33" s="560">
        <v>218.9</v>
      </c>
      <c r="ED33" s="560">
        <v>217.9</v>
      </c>
      <c r="EE33" s="560">
        <v>207.9</v>
      </c>
      <c r="EF33" s="560">
        <v>234.2</v>
      </c>
      <c r="EG33" s="560">
        <v>239.7</v>
      </c>
      <c r="EH33" s="560">
        <v>239</v>
      </c>
      <c r="EI33" s="560">
        <v>234.3</v>
      </c>
      <c r="EJ33" s="560">
        <v>247.7</v>
      </c>
      <c r="EK33" s="560">
        <v>261.8</v>
      </c>
      <c r="EL33" s="560">
        <v>269.39999999999998</v>
      </c>
      <c r="EM33" s="560">
        <v>270.39999999999998</v>
      </c>
      <c r="EN33" s="560">
        <v>276</v>
      </c>
      <c r="EO33" s="560">
        <v>285.2</v>
      </c>
      <c r="EP33" s="560">
        <v>294.89999999999998</v>
      </c>
      <c r="EQ33" s="560">
        <v>310.10000000000002</v>
      </c>
      <c r="ER33" s="560">
        <v>297.7</v>
      </c>
      <c r="ES33" s="560">
        <v>301.7</v>
      </c>
      <c r="ET33" s="560">
        <v>320.5</v>
      </c>
      <c r="EU33" s="560">
        <v>332</v>
      </c>
      <c r="EV33" s="560">
        <v>319.60000000000002</v>
      </c>
      <c r="EW33" s="560">
        <v>314.2</v>
      </c>
      <c r="EX33" s="560">
        <v>333.4</v>
      </c>
      <c r="EY33" s="560">
        <v>361.1</v>
      </c>
      <c r="EZ33" s="560">
        <v>323.8</v>
      </c>
      <c r="FA33" s="560">
        <v>305.10000000000002</v>
      </c>
      <c r="FB33" s="560">
        <v>281.10000000000002</v>
      </c>
      <c r="FC33" s="560">
        <v>275.60000000000002</v>
      </c>
      <c r="FD33" s="560">
        <v>293.3</v>
      </c>
      <c r="FE33" s="560">
        <v>293.3</v>
      </c>
      <c r="FF33" s="560">
        <v>288.39999999999998</v>
      </c>
      <c r="FG33" s="560">
        <v>278</v>
      </c>
      <c r="FH33" s="560">
        <v>297.8</v>
      </c>
      <c r="FI33" s="560">
        <v>311.89999999999998</v>
      </c>
      <c r="FJ33" s="560">
        <v>315.2</v>
      </c>
      <c r="FK33" s="560">
        <v>319.39999999999998</v>
      </c>
      <c r="FL33" s="560">
        <v>327.2</v>
      </c>
      <c r="FM33" s="560">
        <v>329.9</v>
      </c>
      <c r="FN33" s="560">
        <v>330.1</v>
      </c>
      <c r="FO33" s="560">
        <v>337</v>
      </c>
      <c r="FP33" s="560">
        <v>346.2</v>
      </c>
      <c r="FQ33" s="560">
        <v>359.2</v>
      </c>
      <c r="FR33" s="560">
        <v>376.5</v>
      </c>
      <c r="FS33" s="560">
        <v>386.1</v>
      </c>
      <c r="FT33" s="560">
        <v>366.6</v>
      </c>
      <c r="FU33" s="560">
        <v>364.9</v>
      </c>
      <c r="FV33" s="560">
        <v>375.7</v>
      </c>
      <c r="FW33" s="560">
        <v>369.4</v>
      </c>
      <c r="FX33" s="560">
        <v>385.3</v>
      </c>
      <c r="FY33" s="560">
        <v>393</v>
      </c>
      <c r="FZ33" s="560">
        <v>395.4</v>
      </c>
      <c r="GA33" s="560">
        <v>415.3</v>
      </c>
      <c r="GB33" s="560">
        <v>406.5</v>
      </c>
      <c r="GC33" s="560">
        <v>412.3</v>
      </c>
      <c r="GD33" s="560">
        <v>397.8</v>
      </c>
      <c r="GE33" s="560">
        <v>406.6</v>
      </c>
      <c r="GF33" s="560">
        <v>418.2</v>
      </c>
      <c r="GG33" s="560">
        <v>418.4</v>
      </c>
      <c r="GH33" s="560">
        <v>424.7</v>
      </c>
      <c r="GI33" s="560">
        <v>406.5</v>
      </c>
      <c r="GJ33" s="560">
        <v>432.4</v>
      </c>
      <c r="GK33" s="560">
        <v>478.2</v>
      </c>
      <c r="GL33" s="560">
        <v>479</v>
      </c>
      <c r="GM33" s="560">
        <v>442.4</v>
      </c>
      <c r="GN33" s="560">
        <v>464.2</v>
      </c>
      <c r="GO33" s="560">
        <v>453.6</v>
      </c>
      <c r="GP33" s="560">
        <v>472.9</v>
      </c>
      <c r="GQ33" s="560">
        <v>520.9</v>
      </c>
      <c r="GR33" s="560">
        <v>497.4</v>
      </c>
      <c r="GS33" s="560">
        <v>494.7</v>
      </c>
      <c r="GT33" s="560">
        <v>503.8</v>
      </c>
      <c r="GU33" s="560">
        <v>517.5</v>
      </c>
      <c r="GV33" s="560">
        <v>519.6</v>
      </c>
      <c r="GW33" s="560">
        <v>522.79999999999995</v>
      </c>
      <c r="GX33" s="560">
        <v>560.20000000000005</v>
      </c>
      <c r="GY33" s="560">
        <v>623.29999999999995</v>
      </c>
    </row>
    <row r="34" spans="1:207">
      <c r="A34" s="560" t="s">
        <v>230</v>
      </c>
      <c r="B34" s="560">
        <v>70.599999999999994</v>
      </c>
      <c r="C34" s="560">
        <v>72.400000000000006</v>
      </c>
      <c r="D34" s="560">
        <v>74.3</v>
      </c>
      <c r="E34" s="560">
        <v>76</v>
      </c>
      <c r="F34" s="560">
        <v>78.3</v>
      </c>
      <c r="G34" s="560">
        <v>80.2</v>
      </c>
      <c r="H34" s="560">
        <v>82.8</v>
      </c>
      <c r="I34" s="560">
        <v>84.7</v>
      </c>
      <c r="J34" s="560">
        <v>86.4</v>
      </c>
      <c r="K34" s="560">
        <v>88.5</v>
      </c>
      <c r="L34" s="560">
        <v>90.4</v>
      </c>
      <c r="M34" s="560">
        <v>92.5</v>
      </c>
      <c r="N34" s="560">
        <v>95.1</v>
      </c>
      <c r="O34" s="560">
        <v>96.3</v>
      </c>
      <c r="P34" s="560">
        <v>98.7</v>
      </c>
      <c r="Q34" s="560">
        <v>99.6</v>
      </c>
      <c r="R34" s="560">
        <v>101</v>
      </c>
      <c r="S34" s="560">
        <v>104</v>
      </c>
      <c r="T34" s="560">
        <v>106.8</v>
      </c>
      <c r="U34" s="560">
        <v>107.5</v>
      </c>
      <c r="V34" s="560">
        <v>109</v>
      </c>
      <c r="W34" s="560">
        <v>111.7</v>
      </c>
      <c r="X34" s="560">
        <v>114.9</v>
      </c>
      <c r="Y34" s="560">
        <v>117.3</v>
      </c>
      <c r="Z34" s="560">
        <v>120.9</v>
      </c>
      <c r="AA34" s="560">
        <v>123.5</v>
      </c>
      <c r="AB34" s="560">
        <v>126</v>
      </c>
      <c r="AC34" s="560">
        <v>129.6</v>
      </c>
      <c r="AD34" s="560">
        <v>132.9</v>
      </c>
      <c r="AE34" s="560">
        <v>135.5</v>
      </c>
      <c r="AF34" s="560">
        <v>138.30000000000001</v>
      </c>
      <c r="AG34" s="560">
        <v>141.1</v>
      </c>
      <c r="AH34" s="560">
        <v>143</v>
      </c>
      <c r="AI34" s="560">
        <v>147.69999999999999</v>
      </c>
      <c r="AJ34" s="560">
        <v>144.19999999999999</v>
      </c>
      <c r="AK34" s="560">
        <v>147.6</v>
      </c>
      <c r="AL34" s="560">
        <v>150.6</v>
      </c>
      <c r="AM34" s="560">
        <v>152.6</v>
      </c>
      <c r="AN34" s="560">
        <v>155.6</v>
      </c>
      <c r="AO34" s="560">
        <v>159</v>
      </c>
      <c r="AP34" s="560">
        <v>161.9</v>
      </c>
      <c r="AQ34" s="560">
        <v>163.30000000000001</v>
      </c>
      <c r="AR34" s="560">
        <v>168.2</v>
      </c>
      <c r="AS34" s="560">
        <v>173.3</v>
      </c>
      <c r="AT34" s="560">
        <v>180.2</v>
      </c>
      <c r="AU34" s="560">
        <v>183.7</v>
      </c>
      <c r="AV34" s="560">
        <v>188.3</v>
      </c>
      <c r="AW34" s="560">
        <v>190.7</v>
      </c>
      <c r="AX34" s="560">
        <v>193.9</v>
      </c>
      <c r="AY34" s="560">
        <v>198.3</v>
      </c>
      <c r="AZ34" s="560">
        <v>201.7</v>
      </c>
      <c r="BA34" s="560">
        <v>206</v>
      </c>
      <c r="BB34" s="560">
        <v>209.6</v>
      </c>
      <c r="BC34" s="560">
        <v>216</v>
      </c>
      <c r="BD34" s="560">
        <v>222</v>
      </c>
      <c r="BE34" s="560">
        <v>228</v>
      </c>
      <c r="BF34" s="560">
        <v>234.7</v>
      </c>
      <c r="BG34" s="560">
        <v>240.3</v>
      </c>
      <c r="BH34" s="560">
        <v>244.7</v>
      </c>
      <c r="BI34" s="560">
        <v>250.2</v>
      </c>
      <c r="BJ34" s="560">
        <v>254.7</v>
      </c>
      <c r="BK34" s="560">
        <v>260</v>
      </c>
      <c r="BL34" s="560">
        <v>265.10000000000002</v>
      </c>
      <c r="BM34" s="560">
        <v>268.5</v>
      </c>
      <c r="BN34" s="560">
        <v>273</v>
      </c>
      <c r="BO34" s="560">
        <v>276.60000000000002</v>
      </c>
      <c r="BP34" s="560">
        <v>282.3</v>
      </c>
      <c r="BQ34" s="560">
        <v>286.8</v>
      </c>
      <c r="BR34" s="560">
        <v>291.89999999999998</v>
      </c>
      <c r="BS34" s="560">
        <v>298.5</v>
      </c>
      <c r="BT34" s="560">
        <v>306</v>
      </c>
      <c r="BU34" s="560">
        <v>310</v>
      </c>
      <c r="BV34" s="560">
        <v>315.7</v>
      </c>
      <c r="BW34" s="560">
        <v>323.2</v>
      </c>
      <c r="BX34" s="560">
        <v>327.3</v>
      </c>
      <c r="BY34" s="560">
        <v>332.4</v>
      </c>
      <c r="BZ34" s="560">
        <v>340.2</v>
      </c>
      <c r="CA34" s="560">
        <v>348.2</v>
      </c>
      <c r="CB34" s="560">
        <v>353.9</v>
      </c>
      <c r="CC34" s="560">
        <v>354.2</v>
      </c>
      <c r="CD34" s="560">
        <v>369.3</v>
      </c>
      <c r="CE34" s="560">
        <v>368.7</v>
      </c>
      <c r="CF34" s="560">
        <v>375.6</v>
      </c>
      <c r="CG34" s="560">
        <v>382.7</v>
      </c>
      <c r="CH34" s="560">
        <v>384.3</v>
      </c>
      <c r="CI34" s="560">
        <v>390.2</v>
      </c>
      <c r="CJ34" s="560">
        <v>399.4</v>
      </c>
      <c r="CK34" s="560">
        <v>407.3</v>
      </c>
      <c r="CL34" s="560">
        <v>412.8</v>
      </c>
      <c r="CM34" s="560">
        <v>418.2</v>
      </c>
      <c r="CN34" s="560">
        <v>424.1</v>
      </c>
      <c r="CO34" s="560">
        <v>425.3</v>
      </c>
      <c r="CP34" s="560">
        <v>427.5</v>
      </c>
      <c r="CQ34" s="560">
        <v>432.8</v>
      </c>
      <c r="CR34" s="560">
        <v>439.5</v>
      </c>
      <c r="CS34" s="560">
        <v>447.2</v>
      </c>
      <c r="CT34" s="560">
        <v>456</v>
      </c>
      <c r="CU34" s="560">
        <v>465.8</v>
      </c>
      <c r="CV34" s="560">
        <v>470</v>
      </c>
      <c r="CW34" s="560">
        <v>473.3</v>
      </c>
      <c r="CX34" s="560">
        <v>478.8</v>
      </c>
      <c r="CY34" s="560">
        <v>477.9</v>
      </c>
      <c r="CZ34" s="560">
        <v>483.5</v>
      </c>
      <c r="DA34" s="560">
        <v>489.3</v>
      </c>
      <c r="DB34" s="560">
        <v>497.8</v>
      </c>
      <c r="DC34" s="560">
        <v>506.5</v>
      </c>
      <c r="DD34" s="560">
        <v>510.1</v>
      </c>
      <c r="DE34" s="560">
        <v>517.29999999999995</v>
      </c>
      <c r="DF34" s="560">
        <v>523.79999999999995</v>
      </c>
      <c r="DG34" s="560">
        <v>530.70000000000005</v>
      </c>
      <c r="DH34" s="560">
        <v>536.6</v>
      </c>
      <c r="DI34" s="560">
        <v>544</v>
      </c>
      <c r="DJ34" s="560">
        <v>549.6</v>
      </c>
      <c r="DK34" s="560">
        <v>555.4</v>
      </c>
      <c r="DL34" s="560">
        <v>561.6</v>
      </c>
      <c r="DM34" s="560">
        <v>568.6</v>
      </c>
      <c r="DN34" s="560">
        <v>576.20000000000005</v>
      </c>
      <c r="DO34" s="560">
        <v>585.4</v>
      </c>
      <c r="DP34" s="560">
        <v>595.20000000000005</v>
      </c>
      <c r="DQ34" s="560">
        <v>603.70000000000005</v>
      </c>
      <c r="DR34" s="560">
        <v>612.4</v>
      </c>
      <c r="DS34" s="560">
        <v>618.9</v>
      </c>
      <c r="DT34" s="560">
        <v>623.70000000000005</v>
      </c>
      <c r="DU34" s="560">
        <v>630.1</v>
      </c>
      <c r="DV34" s="560">
        <v>637.1</v>
      </c>
      <c r="DW34" s="560">
        <v>637.79999999999995</v>
      </c>
      <c r="DX34" s="560">
        <v>641.70000000000005</v>
      </c>
      <c r="DY34" s="560">
        <v>653</v>
      </c>
      <c r="DZ34" s="560">
        <v>659.3</v>
      </c>
      <c r="EA34" s="560">
        <v>664</v>
      </c>
      <c r="EB34" s="560">
        <v>680.5</v>
      </c>
      <c r="EC34" s="560">
        <v>689</v>
      </c>
      <c r="ED34" s="560">
        <v>698.5</v>
      </c>
      <c r="EE34" s="560">
        <v>709.9</v>
      </c>
      <c r="EF34" s="560">
        <v>723.4</v>
      </c>
      <c r="EG34" s="560">
        <v>729.8</v>
      </c>
      <c r="EH34" s="560">
        <v>753.2</v>
      </c>
      <c r="EI34" s="560">
        <v>765.1</v>
      </c>
      <c r="EJ34" s="560">
        <v>775.4</v>
      </c>
      <c r="EK34" s="560">
        <v>797.6</v>
      </c>
      <c r="EL34" s="560">
        <v>817.9</v>
      </c>
      <c r="EM34" s="560">
        <v>835.9</v>
      </c>
      <c r="EN34" s="560">
        <v>851.8</v>
      </c>
      <c r="EO34" s="560">
        <v>866.6</v>
      </c>
      <c r="EP34" s="560">
        <v>882.7</v>
      </c>
      <c r="EQ34" s="560">
        <v>892.2</v>
      </c>
      <c r="ER34" s="560">
        <v>903.9</v>
      </c>
      <c r="ES34" s="560">
        <v>912.4</v>
      </c>
      <c r="ET34" s="560">
        <v>931.9</v>
      </c>
      <c r="EU34" s="560">
        <v>939.4</v>
      </c>
      <c r="EV34" s="560">
        <v>940.4</v>
      </c>
      <c r="EW34" s="560">
        <v>957.1</v>
      </c>
      <c r="EX34" s="560">
        <v>952.5</v>
      </c>
      <c r="EY34" s="560">
        <v>959.4</v>
      </c>
      <c r="EZ34" s="560">
        <v>964.8</v>
      </c>
      <c r="FA34" s="560">
        <v>946.3</v>
      </c>
      <c r="FB34" s="560">
        <v>929.2</v>
      </c>
      <c r="FC34" s="560">
        <v>923</v>
      </c>
      <c r="FD34" s="560">
        <v>937.4</v>
      </c>
      <c r="FE34" s="560">
        <v>952.1</v>
      </c>
      <c r="FF34" s="560">
        <v>951.6</v>
      </c>
      <c r="FG34" s="560">
        <v>965.7</v>
      </c>
      <c r="FH34" s="560">
        <v>970.1</v>
      </c>
      <c r="FI34" s="560">
        <v>977.7</v>
      </c>
      <c r="FJ34" s="560">
        <v>986.8</v>
      </c>
      <c r="FK34" s="560">
        <v>996.4</v>
      </c>
      <c r="FL34" s="560">
        <v>994.5</v>
      </c>
      <c r="FM34" s="560">
        <v>1002.7</v>
      </c>
      <c r="FN34" s="560">
        <v>1016.9</v>
      </c>
      <c r="FO34" s="560">
        <v>1019.5</v>
      </c>
      <c r="FP34" s="560">
        <v>1016.6</v>
      </c>
      <c r="FQ34" s="560">
        <v>1030.8</v>
      </c>
      <c r="FR34" s="560">
        <v>1052.3</v>
      </c>
      <c r="FS34" s="560">
        <v>1056.4000000000001</v>
      </c>
      <c r="FT34" s="560">
        <v>1068.7</v>
      </c>
      <c r="FU34" s="560">
        <v>1075.3</v>
      </c>
      <c r="FV34" s="560">
        <v>1083.9000000000001</v>
      </c>
      <c r="FW34" s="560">
        <v>1102.2</v>
      </c>
      <c r="FX34" s="560">
        <v>1111.4000000000001</v>
      </c>
      <c r="FY34" s="560">
        <v>1120.5999999999999</v>
      </c>
      <c r="FZ34" s="560">
        <v>1122.3</v>
      </c>
      <c r="GA34" s="560">
        <v>1129.5999999999999</v>
      </c>
      <c r="GB34" s="560">
        <v>1139.4000000000001</v>
      </c>
      <c r="GC34" s="560">
        <v>1148.2</v>
      </c>
      <c r="GD34" s="560">
        <v>1157.7</v>
      </c>
      <c r="GE34" s="560">
        <v>1165.3</v>
      </c>
      <c r="GF34" s="560">
        <v>1184.8</v>
      </c>
      <c r="GG34" s="560">
        <v>1192.8</v>
      </c>
      <c r="GH34" s="560">
        <v>1211.7</v>
      </c>
      <c r="GI34" s="560">
        <v>1227.0999999999999</v>
      </c>
      <c r="GJ34" s="560">
        <v>1240.2</v>
      </c>
      <c r="GK34" s="560">
        <v>1259.8</v>
      </c>
      <c r="GL34" s="560">
        <v>1276.3</v>
      </c>
      <c r="GM34" s="560">
        <v>1291.2</v>
      </c>
      <c r="GN34" s="560">
        <v>1306.4000000000001</v>
      </c>
      <c r="GO34" s="560">
        <v>1318.5</v>
      </c>
      <c r="GP34" s="560">
        <v>1331.4</v>
      </c>
      <c r="GQ34" s="560">
        <v>1348.7</v>
      </c>
      <c r="GR34" s="560">
        <v>1372.1</v>
      </c>
      <c r="GS34" s="560">
        <v>1378.4</v>
      </c>
      <c r="GT34" s="560">
        <v>1391.3</v>
      </c>
      <c r="GU34" s="560">
        <v>1322.2</v>
      </c>
      <c r="GV34" s="560">
        <v>1392.7</v>
      </c>
      <c r="GW34" s="560">
        <v>1400.4</v>
      </c>
      <c r="GX34" s="560">
        <v>1413.9</v>
      </c>
      <c r="GY34" s="560">
        <v>1462.6</v>
      </c>
    </row>
    <row r="35" spans="1:207">
      <c r="A35" s="560" t="s">
        <v>231</v>
      </c>
      <c r="B35" s="560">
        <v>3.8</v>
      </c>
      <c r="C35" s="560">
        <v>3.7</v>
      </c>
      <c r="D35" s="560">
        <v>3.8</v>
      </c>
      <c r="E35" s="560">
        <v>3.6</v>
      </c>
      <c r="F35" s="560">
        <v>4.0999999999999996</v>
      </c>
      <c r="G35" s="560">
        <v>4.2</v>
      </c>
      <c r="H35" s="560">
        <v>4.4000000000000004</v>
      </c>
      <c r="I35" s="560">
        <v>4.5</v>
      </c>
      <c r="J35" s="560">
        <v>5</v>
      </c>
      <c r="K35" s="560">
        <v>5</v>
      </c>
      <c r="L35" s="560">
        <v>5.2</v>
      </c>
      <c r="M35" s="560">
        <v>5.7</v>
      </c>
      <c r="N35" s="560">
        <v>6</v>
      </c>
      <c r="O35" s="560">
        <v>6.1</v>
      </c>
      <c r="P35" s="560">
        <v>5.9</v>
      </c>
      <c r="Q35" s="560">
        <v>6.1</v>
      </c>
      <c r="R35" s="560">
        <v>6.3</v>
      </c>
      <c r="S35" s="560">
        <v>6.6</v>
      </c>
      <c r="T35" s="560">
        <v>7.3</v>
      </c>
      <c r="U35" s="560">
        <v>6.5</v>
      </c>
      <c r="V35" s="560">
        <v>6.1</v>
      </c>
      <c r="W35" s="560">
        <v>6.6</v>
      </c>
      <c r="X35" s="560">
        <v>8.1999999999999993</v>
      </c>
      <c r="Y35" s="560">
        <v>8.4</v>
      </c>
      <c r="Z35" s="560">
        <v>9.6999999999999993</v>
      </c>
      <c r="AA35" s="560">
        <v>9.6</v>
      </c>
      <c r="AB35" s="560">
        <v>9.6999999999999993</v>
      </c>
      <c r="AC35" s="560">
        <v>9.6</v>
      </c>
      <c r="AD35" s="560">
        <v>10.5</v>
      </c>
      <c r="AE35" s="560">
        <v>11.4</v>
      </c>
      <c r="AF35" s="560">
        <v>11.8</v>
      </c>
      <c r="AG35" s="560">
        <v>12</v>
      </c>
      <c r="AH35" s="560">
        <v>10.5</v>
      </c>
      <c r="AI35" s="560">
        <v>12.4</v>
      </c>
      <c r="AJ35" s="560">
        <v>12.5</v>
      </c>
      <c r="AK35" s="560">
        <v>13.1</v>
      </c>
      <c r="AL35" s="560">
        <v>13.7</v>
      </c>
      <c r="AM35" s="560">
        <v>13.8</v>
      </c>
      <c r="AN35" s="560">
        <v>13.6</v>
      </c>
      <c r="AO35" s="560">
        <v>13.2</v>
      </c>
      <c r="AP35" s="560">
        <v>16.100000000000001</v>
      </c>
      <c r="AQ35" s="560">
        <v>12.8</v>
      </c>
      <c r="AR35" s="560">
        <v>14</v>
      </c>
      <c r="AS35" s="560">
        <v>15.1</v>
      </c>
      <c r="AT35" s="560">
        <v>16.8</v>
      </c>
      <c r="AU35" s="560">
        <v>15.2</v>
      </c>
      <c r="AV35" s="560">
        <v>15.7</v>
      </c>
      <c r="AW35" s="560">
        <v>14.1</v>
      </c>
      <c r="AX35" s="560">
        <v>14.1</v>
      </c>
      <c r="AY35" s="560">
        <v>14.3</v>
      </c>
      <c r="AZ35" s="560">
        <v>14.4</v>
      </c>
      <c r="BA35" s="560">
        <v>13.3</v>
      </c>
      <c r="BB35" s="560">
        <v>12.8</v>
      </c>
      <c r="BC35" s="560">
        <v>15.7</v>
      </c>
      <c r="BD35" s="560">
        <v>17.399999999999999</v>
      </c>
      <c r="BE35" s="560">
        <v>17.7</v>
      </c>
      <c r="BF35" s="560">
        <v>20.100000000000001</v>
      </c>
      <c r="BG35" s="560">
        <v>19.899999999999999</v>
      </c>
      <c r="BH35" s="560">
        <v>17.5</v>
      </c>
      <c r="BI35" s="560">
        <v>17.7</v>
      </c>
      <c r="BJ35" s="560">
        <v>20</v>
      </c>
      <c r="BK35" s="560">
        <v>19.600000000000001</v>
      </c>
      <c r="BL35" s="560">
        <v>20.9</v>
      </c>
      <c r="BM35" s="560">
        <v>20.5</v>
      </c>
      <c r="BN35" s="560">
        <v>21.4</v>
      </c>
      <c r="BO35" s="560">
        <v>22</v>
      </c>
      <c r="BP35" s="560">
        <v>22.4</v>
      </c>
      <c r="BQ35" s="560">
        <v>24.8</v>
      </c>
      <c r="BR35" s="560">
        <v>22.7</v>
      </c>
      <c r="BS35" s="560">
        <v>24.5</v>
      </c>
      <c r="BT35" s="560">
        <v>24.8</v>
      </c>
      <c r="BU35" s="560">
        <v>23.6</v>
      </c>
      <c r="BV35" s="560">
        <v>23.4</v>
      </c>
      <c r="BW35" s="560">
        <v>25.2</v>
      </c>
      <c r="BX35" s="560">
        <v>27.3</v>
      </c>
      <c r="BY35" s="560">
        <v>28.2</v>
      </c>
      <c r="BZ35" s="560">
        <v>27.8</v>
      </c>
      <c r="CA35" s="560">
        <v>24.2</v>
      </c>
      <c r="CB35" s="560">
        <v>22.8</v>
      </c>
      <c r="CC35" s="560">
        <v>22.1</v>
      </c>
      <c r="CD35" s="560">
        <v>21.4</v>
      </c>
      <c r="CE35" s="560">
        <v>22.1</v>
      </c>
      <c r="CF35" s="560">
        <v>23</v>
      </c>
      <c r="CG35" s="560">
        <v>23.4</v>
      </c>
      <c r="CH35" s="560">
        <v>23.8</v>
      </c>
      <c r="CI35" s="560">
        <v>23.4</v>
      </c>
      <c r="CJ35" s="560">
        <v>23.7</v>
      </c>
      <c r="CK35" s="560">
        <v>23.6</v>
      </c>
      <c r="CL35" s="560">
        <v>25.2</v>
      </c>
      <c r="CM35" s="560">
        <v>24.7</v>
      </c>
      <c r="CN35" s="560">
        <v>23.2</v>
      </c>
      <c r="CO35" s="560">
        <v>24.4</v>
      </c>
      <c r="CP35" s="560">
        <v>24.8</v>
      </c>
      <c r="CQ35" s="560">
        <v>26.8</v>
      </c>
      <c r="CR35" s="560">
        <v>25.2</v>
      </c>
      <c r="CS35" s="560">
        <v>30.8</v>
      </c>
      <c r="CT35" s="560">
        <v>27.1</v>
      </c>
      <c r="CU35" s="560">
        <v>28.7</v>
      </c>
      <c r="CV35" s="560">
        <v>31.4</v>
      </c>
      <c r="CW35" s="560">
        <v>32.700000000000003</v>
      </c>
      <c r="CX35" s="560">
        <v>32.5</v>
      </c>
      <c r="CY35" s="560">
        <v>31.3</v>
      </c>
      <c r="CZ35" s="560">
        <v>31.9</v>
      </c>
      <c r="DA35" s="560">
        <v>30.9</v>
      </c>
      <c r="DB35" s="560">
        <v>31.9</v>
      </c>
      <c r="DC35" s="560">
        <v>33.5</v>
      </c>
      <c r="DD35" s="560">
        <v>33.299999999999997</v>
      </c>
      <c r="DE35" s="560">
        <v>33.4</v>
      </c>
      <c r="DF35" s="560">
        <v>33.1</v>
      </c>
      <c r="DG35" s="560">
        <v>33.6</v>
      </c>
      <c r="DH35" s="560">
        <v>35.5</v>
      </c>
      <c r="DI35" s="560">
        <v>34.4</v>
      </c>
      <c r="DJ35" s="560">
        <v>34.700000000000003</v>
      </c>
      <c r="DK35" s="560">
        <v>34.5</v>
      </c>
      <c r="DL35" s="560">
        <v>35.700000000000003</v>
      </c>
      <c r="DM35" s="560">
        <v>34.799999999999997</v>
      </c>
      <c r="DN35" s="560">
        <v>36.299999999999997</v>
      </c>
      <c r="DO35" s="560">
        <v>35.5</v>
      </c>
      <c r="DP35" s="560">
        <v>35.6</v>
      </c>
      <c r="DQ35" s="560">
        <v>35.9</v>
      </c>
      <c r="DR35" s="560">
        <v>37.200000000000003</v>
      </c>
      <c r="DS35" s="560">
        <v>36.5</v>
      </c>
      <c r="DT35" s="560">
        <v>33.5</v>
      </c>
      <c r="DU35" s="560">
        <v>33.700000000000003</v>
      </c>
      <c r="DV35" s="560">
        <v>30.1</v>
      </c>
      <c r="DW35" s="560">
        <v>30.4</v>
      </c>
      <c r="DX35" s="560">
        <v>28.3</v>
      </c>
      <c r="DY35" s="560">
        <v>26.6</v>
      </c>
      <c r="DZ35" s="560">
        <v>28.3</v>
      </c>
      <c r="EA35" s="560">
        <v>30.2</v>
      </c>
      <c r="EB35" s="560">
        <v>31.5</v>
      </c>
      <c r="EC35" s="560">
        <v>33.5</v>
      </c>
      <c r="ED35" s="560">
        <v>34.5</v>
      </c>
      <c r="EE35" s="560">
        <v>31.7</v>
      </c>
      <c r="EF35" s="560">
        <v>33.6</v>
      </c>
      <c r="EG35" s="560">
        <v>36.200000000000003</v>
      </c>
      <c r="EH35" s="560">
        <v>37.799999999999997</v>
      </c>
      <c r="EI35" s="560">
        <v>40.799999999999997</v>
      </c>
      <c r="EJ35" s="560">
        <v>43.9</v>
      </c>
      <c r="EK35" s="560">
        <v>44.3</v>
      </c>
      <c r="EL35" s="560">
        <v>55.3</v>
      </c>
      <c r="EM35" s="560">
        <v>53</v>
      </c>
      <c r="EN35" s="560">
        <v>53.3</v>
      </c>
      <c r="EO35" s="560">
        <v>58.2</v>
      </c>
      <c r="EP35" s="560">
        <v>59.6</v>
      </c>
      <c r="EQ35" s="560">
        <v>60.3</v>
      </c>
      <c r="ER35" s="560">
        <v>61.8</v>
      </c>
      <c r="ES35" s="560">
        <v>55.2</v>
      </c>
      <c r="ET35" s="560">
        <v>59.2</v>
      </c>
      <c r="EU35" s="560">
        <v>59.4</v>
      </c>
      <c r="EV35" s="560">
        <v>56.3</v>
      </c>
      <c r="EW35" s="560">
        <v>56.6</v>
      </c>
      <c r="EX35" s="560">
        <v>50.2</v>
      </c>
      <c r="EY35" s="560">
        <v>51.6</v>
      </c>
      <c r="EZ35" s="560">
        <v>52.8</v>
      </c>
      <c r="FA35" s="560">
        <v>35.1</v>
      </c>
      <c r="FB35" s="560">
        <v>43.7</v>
      </c>
      <c r="FC35" s="560">
        <v>49.6</v>
      </c>
      <c r="FD35" s="560">
        <v>41.3</v>
      </c>
      <c r="FE35" s="560">
        <v>43.4</v>
      </c>
      <c r="FF35" s="560">
        <v>45.1</v>
      </c>
      <c r="FG35" s="560">
        <v>43.4</v>
      </c>
      <c r="FH35" s="560">
        <v>45.5</v>
      </c>
      <c r="FI35" s="560">
        <v>50.4</v>
      </c>
      <c r="FJ35" s="560">
        <v>48.4</v>
      </c>
      <c r="FK35" s="560">
        <v>49.8</v>
      </c>
      <c r="FL35" s="560">
        <v>46.4</v>
      </c>
      <c r="FM35" s="560">
        <v>49</v>
      </c>
      <c r="FN35" s="560">
        <v>49.2</v>
      </c>
      <c r="FO35" s="560">
        <v>49.5</v>
      </c>
      <c r="FP35" s="560">
        <v>52.1</v>
      </c>
      <c r="FQ35" s="560">
        <v>51.9</v>
      </c>
      <c r="FR35" s="560">
        <v>53.8</v>
      </c>
      <c r="FS35" s="560">
        <v>54.1</v>
      </c>
      <c r="FT35" s="560">
        <v>53.1</v>
      </c>
      <c r="FU35" s="560">
        <v>54.6</v>
      </c>
      <c r="FV35" s="560">
        <v>56.4</v>
      </c>
      <c r="FW35" s="560">
        <v>55.1</v>
      </c>
      <c r="FX35" s="560">
        <v>57</v>
      </c>
      <c r="FY35" s="560">
        <v>57.7</v>
      </c>
      <c r="FZ35" s="560">
        <v>57.6</v>
      </c>
      <c r="GA35" s="560">
        <v>57.5</v>
      </c>
      <c r="GB35" s="560">
        <v>55.8</v>
      </c>
      <c r="GC35" s="560">
        <v>54.1</v>
      </c>
      <c r="GD35" s="560">
        <v>54</v>
      </c>
      <c r="GE35" s="560">
        <v>52.4</v>
      </c>
      <c r="GF35" s="560">
        <v>52.8</v>
      </c>
      <c r="GG35" s="560">
        <v>54.2</v>
      </c>
      <c r="GH35" s="560">
        <v>55.3</v>
      </c>
      <c r="GI35" s="560">
        <v>53.6</v>
      </c>
      <c r="GJ35" s="560">
        <v>54.3</v>
      </c>
      <c r="GK35" s="560">
        <v>55.1</v>
      </c>
      <c r="GL35" s="560">
        <v>55.6</v>
      </c>
      <c r="GM35" s="560">
        <v>60.3</v>
      </c>
      <c r="GN35" s="560">
        <v>61.7</v>
      </c>
      <c r="GO35" s="560">
        <v>64.3</v>
      </c>
      <c r="GP35" s="560">
        <v>73.2</v>
      </c>
      <c r="GQ35" s="560">
        <v>72.8</v>
      </c>
      <c r="GR35" s="560">
        <v>73.099999999999994</v>
      </c>
      <c r="GS35" s="560">
        <v>72.400000000000006</v>
      </c>
      <c r="GT35" s="560">
        <v>66.5</v>
      </c>
      <c r="GU35" s="560">
        <v>61.9</v>
      </c>
      <c r="GV35" s="560">
        <v>76.8</v>
      </c>
      <c r="GW35" s="560">
        <v>78.8</v>
      </c>
      <c r="GX35" s="560">
        <v>85.5</v>
      </c>
      <c r="GY35" s="560">
        <v>90.6</v>
      </c>
    </row>
    <row r="36" spans="1:207">
      <c r="A36" s="560" t="s">
        <v>232</v>
      </c>
      <c r="B36" s="560">
        <v>1.1000000000000001</v>
      </c>
      <c r="C36" s="560">
        <v>1.1000000000000001</v>
      </c>
      <c r="D36" s="560">
        <v>1.1000000000000001</v>
      </c>
      <c r="E36" s="560">
        <v>1.1000000000000001</v>
      </c>
      <c r="F36" s="560">
        <v>1.1000000000000001</v>
      </c>
      <c r="G36" s="560">
        <v>1.2</v>
      </c>
      <c r="H36" s="560">
        <v>1.2</v>
      </c>
      <c r="I36" s="560">
        <v>1.2</v>
      </c>
      <c r="J36" s="560">
        <v>1.3</v>
      </c>
      <c r="K36" s="560">
        <v>1.3</v>
      </c>
      <c r="L36" s="560">
        <v>1.3</v>
      </c>
      <c r="M36" s="560">
        <v>1.4</v>
      </c>
      <c r="N36" s="560">
        <v>1.4</v>
      </c>
      <c r="O36" s="560">
        <v>1.5</v>
      </c>
      <c r="P36" s="560">
        <v>1.5</v>
      </c>
      <c r="Q36" s="560">
        <v>1.6</v>
      </c>
      <c r="R36" s="560">
        <v>1.6</v>
      </c>
      <c r="S36" s="560">
        <v>1.6</v>
      </c>
      <c r="T36" s="560">
        <v>1.7</v>
      </c>
      <c r="U36" s="560">
        <v>1.7</v>
      </c>
      <c r="V36" s="560">
        <v>1.8</v>
      </c>
      <c r="W36" s="560">
        <v>1.8</v>
      </c>
      <c r="X36" s="560">
        <v>1.9</v>
      </c>
      <c r="Y36" s="560">
        <v>2</v>
      </c>
      <c r="Z36" s="560">
        <v>2</v>
      </c>
      <c r="AA36" s="560">
        <v>2.1</v>
      </c>
      <c r="AB36" s="560">
        <v>2.2000000000000002</v>
      </c>
      <c r="AC36" s="560">
        <v>2.2999999999999998</v>
      </c>
      <c r="AD36" s="560">
        <v>2.5</v>
      </c>
      <c r="AE36" s="560">
        <v>2.7</v>
      </c>
      <c r="AF36" s="560">
        <v>2.9</v>
      </c>
      <c r="AG36" s="560">
        <v>3</v>
      </c>
      <c r="AH36" s="560">
        <v>3.2</v>
      </c>
      <c r="AI36" s="560">
        <v>3.3</v>
      </c>
      <c r="AJ36" s="560">
        <v>3.5</v>
      </c>
      <c r="AK36" s="560">
        <v>3.6</v>
      </c>
      <c r="AL36" s="560">
        <v>3.8</v>
      </c>
      <c r="AM36" s="560">
        <v>3.9</v>
      </c>
      <c r="AN36" s="560">
        <v>3.9</v>
      </c>
      <c r="AO36" s="560">
        <v>4</v>
      </c>
      <c r="AP36" s="560">
        <v>3.6</v>
      </c>
      <c r="AQ36" s="560">
        <v>2.9</v>
      </c>
      <c r="AR36" s="560">
        <v>3.8</v>
      </c>
      <c r="AS36" s="560">
        <v>4</v>
      </c>
      <c r="AT36" s="560">
        <v>3.7</v>
      </c>
      <c r="AU36" s="560">
        <v>3.8</v>
      </c>
      <c r="AV36" s="560">
        <v>3.9</v>
      </c>
      <c r="AW36" s="560">
        <v>4</v>
      </c>
      <c r="AX36" s="560">
        <v>4</v>
      </c>
      <c r="AY36" s="560">
        <v>4</v>
      </c>
      <c r="AZ36" s="560">
        <v>4.0999999999999996</v>
      </c>
      <c r="BA36" s="560">
        <v>4.0999999999999996</v>
      </c>
      <c r="BB36" s="560">
        <v>4</v>
      </c>
      <c r="BC36" s="560">
        <v>4.0999999999999996</v>
      </c>
      <c r="BD36" s="560">
        <v>4.0999999999999996</v>
      </c>
      <c r="BE36" s="560">
        <v>4.3</v>
      </c>
      <c r="BF36" s="560">
        <v>4.5</v>
      </c>
      <c r="BG36" s="560">
        <v>4.7</v>
      </c>
      <c r="BH36" s="560">
        <v>4.8</v>
      </c>
      <c r="BI36" s="560">
        <v>4.8</v>
      </c>
      <c r="BJ36" s="560">
        <v>4.7</v>
      </c>
      <c r="BK36" s="560">
        <v>4.8</v>
      </c>
      <c r="BL36" s="560">
        <v>4.9000000000000004</v>
      </c>
      <c r="BM36" s="560">
        <v>5.2</v>
      </c>
      <c r="BN36" s="560">
        <v>5.5</v>
      </c>
      <c r="BO36" s="560">
        <v>5.8</v>
      </c>
      <c r="BP36" s="560">
        <v>6.1</v>
      </c>
      <c r="BQ36" s="560">
        <v>6.4</v>
      </c>
      <c r="BR36" s="560">
        <v>6.7</v>
      </c>
      <c r="BS36" s="560">
        <v>7</v>
      </c>
      <c r="BT36" s="560">
        <v>7.3</v>
      </c>
      <c r="BU36" s="560">
        <v>7.7</v>
      </c>
      <c r="BV36" s="560">
        <v>8</v>
      </c>
      <c r="BW36" s="560">
        <v>8.3000000000000007</v>
      </c>
      <c r="BX36" s="560">
        <v>8.5</v>
      </c>
      <c r="BY36" s="560">
        <v>8.6999999999999993</v>
      </c>
      <c r="BZ36" s="560">
        <v>8.8000000000000007</v>
      </c>
      <c r="CA36" s="560">
        <v>8.9</v>
      </c>
      <c r="CB36" s="560">
        <v>9</v>
      </c>
      <c r="CC36" s="560">
        <v>9.3000000000000007</v>
      </c>
      <c r="CD36" s="560">
        <v>9.5</v>
      </c>
      <c r="CE36" s="560">
        <v>9.9</v>
      </c>
      <c r="CF36" s="560">
        <v>10.199999999999999</v>
      </c>
      <c r="CG36" s="560">
        <v>10.5</v>
      </c>
      <c r="CH36" s="560">
        <v>11</v>
      </c>
      <c r="CI36" s="560">
        <v>11.4</v>
      </c>
      <c r="CJ36" s="560">
        <v>11.8</v>
      </c>
      <c r="CK36" s="560">
        <v>12.2</v>
      </c>
      <c r="CL36" s="560">
        <v>12.6</v>
      </c>
      <c r="CM36" s="560">
        <v>13</v>
      </c>
      <c r="CN36" s="560">
        <v>13.3</v>
      </c>
      <c r="CO36" s="560">
        <v>13.6</v>
      </c>
      <c r="CP36" s="560">
        <v>13.8</v>
      </c>
      <c r="CQ36" s="560">
        <v>14.1</v>
      </c>
      <c r="CR36" s="560">
        <v>14.2</v>
      </c>
      <c r="CS36" s="560">
        <v>14.4</v>
      </c>
      <c r="CT36" s="560">
        <v>14.6</v>
      </c>
      <c r="CU36" s="560">
        <v>14.6</v>
      </c>
      <c r="CV36" s="560">
        <v>14.5</v>
      </c>
      <c r="CW36" s="560">
        <v>14.4</v>
      </c>
      <c r="CX36" s="560">
        <v>14</v>
      </c>
      <c r="CY36" s="560">
        <v>13.7</v>
      </c>
      <c r="CZ36" s="560">
        <v>13.5</v>
      </c>
      <c r="DA36" s="560">
        <v>13.2</v>
      </c>
      <c r="DB36" s="560">
        <v>13</v>
      </c>
      <c r="DC36" s="560">
        <v>12.7</v>
      </c>
      <c r="DD36" s="560">
        <v>12.3</v>
      </c>
      <c r="DE36" s="560">
        <v>11.9</v>
      </c>
      <c r="DF36" s="560">
        <v>11.3</v>
      </c>
      <c r="DG36" s="560">
        <v>10.9</v>
      </c>
      <c r="DH36" s="560">
        <v>10.6</v>
      </c>
      <c r="DI36" s="560">
        <v>10.5</v>
      </c>
      <c r="DJ36" s="560">
        <v>10.5</v>
      </c>
      <c r="DK36" s="560">
        <v>10.5</v>
      </c>
      <c r="DL36" s="560">
        <v>10.3</v>
      </c>
      <c r="DM36" s="560">
        <v>10.1</v>
      </c>
      <c r="DN36" s="560">
        <v>9.9</v>
      </c>
      <c r="DO36" s="560">
        <v>9.6999999999999993</v>
      </c>
      <c r="DP36" s="560">
        <v>9.6999999999999993</v>
      </c>
      <c r="DQ36" s="560">
        <v>9.8000000000000007</v>
      </c>
      <c r="DR36" s="560">
        <v>10</v>
      </c>
      <c r="DS36" s="560">
        <v>10.4</v>
      </c>
      <c r="DT36" s="560">
        <v>11</v>
      </c>
      <c r="DU36" s="560">
        <v>11.8</v>
      </c>
      <c r="DV36" s="560">
        <v>12.7</v>
      </c>
      <c r="DW36" s="560">
        <v>13.5</v>
      </c>
      <c r="DX36" s="560">
        <v>14.1</v>
      </c>
      <c r="DY36" s="560">
        <v>14.5</v>
      </c>
      <c r="DZ36" s="560">
        <v>14.9</v>
      </c>
      <c r="EA36" s="560">
        <v>15.4</v>
      </c>
      <c r="EB36" s="560">
        <v>16.100000000000001</v>
      </c>
      <c r="EC36" s="560">
        <v>17</v>
      </c>
      <c r="ED36" s="560">
        <v>18</v>
      </c>
      <c r="EE36" s="560">
        <v>19.2</v>
      </c>
      <c r="EF36" s="560">
        <v>20.5</v>
      </c>
      <c r="EG36" s="560">
        <v>22</v>
      </c>
      <c r="EH36" s="560">
        <v>23.4</v>
      </c>
      <c r="EI36" s="560">
        <v>24.5</v>
      </c>
      <c r="EJ36" s="560">
        <v>25.2</v>
      </c>
      <c r="EK36" s="560">
        <v>25.5</v>
      </c>
      <c r="EL36" s="560">
        <v>25.3</v>
      </c>
      <c r="EM36" s="560">
        <v>25</v>
      </c>
      <c r="EN36" s="560">
        <v>24.4</v>
      </c>
      <c r="EO36" s="560">
        <v>23.7</v>
      </c>
      <c r="EP36" s="560">
        <v>22.8</v>
      </c>
      <c r="EQ36" s="560">
        <v>21.9</v>
      </c>
      <c r="ER36" s="560">
        <v>21</v>
      </c>
      <c r="ES36" s="560">
        <v>20.2</v>
      </c>
      <c r="ET36" s="560">
        <v>19.399999999999999</v>
      </c>
      <c r="EU36" s="560">
        <v>18.899999999999999</v>
      </c>
      <c r="EV36" s="560">
        <v>18.5</v>
      </c>
      <c r="EW36" s="560">
        <v>18.5</v>
      </c>
      <c r="EX36" s="560">
        <v>18.600000000000001</v>
      </c>
      <c r="EY36" s="560">
        <v>18.7</v>
      </c>
      <c r="EZ36" s="560">
        <v>18.7</v>
      </c>
      <c r="FA36" s="560">
        <v>18.8</v>
      </c>
      <c r="FB36" s="560">
        <v>18.8</v>
      </c>
      <c r="FC36" s="560">
        <v>18.7</v>
      </c>
      <c r="FD36" s="560">
        <v>18.5</v>
      </c>
      <c r="FE36" s="560">
        <v>18.3</v>
      </c>
      <c r="FF36" s="560">
        <v>18</v>
      </c>
      <c r="FG36" s="560">
        <v>17.7</v>
      </c>
      <c r="FH36" s="560">
        <v>17.7</v>
      </c>
      <c r="FI36" s="560">
        <v>17.7</v>
      </c>
      <c r="FJ36" s="560">
        <v>17.899999999999999</v>
      </c>
      <c r="FK36" s="560">
        <v>18</v>
      </c>
      <c r="FL36" s="560">
        <v>17.899999999999999</v>
      </c>
      <c r="FM36" s="560">
        <v>17.7</v>
      </c>
      <c r="FN36" s="560">
        <v>17.399999999999999</v>
      </c>
      <c r="FO36" s="560">
        <v>17.2</v>
      </c>
      <c r="FP36" s="560">
        <v>17.100000000000001</v>
      </c>
      <c r="FQ36" s="560">
        <v>17.100000000000001</v>
      </c>
      <c r="FR36" s="560">
        <v>17.3</v>
      </c>
      <c r="FS36" s="560">
        <v>17.5</v>
      </c>
      <c r="FT36" s="560">
        <v>17.8</v>
      </c>
      <c r="FU36" s="560">
        <v>18.100000000000001</v>
      </c>
      <c r="FV36" s="560">
        <v>18.399999999999999</v>
      </c>
      <c r="FW36" s="560">
        <v>18.7</v>
      </c>
      <c r="FX36" s="560">
        <v>18.899999999999999</v>
      </c>
      <c r="FY36" s="560">
        <v>19</v>
      </c>
      <c r="FZ36" s="560">
        <v>19</v>
      </c>
      <c r="GA36" s="560">
        <v>19.100000000000001</v>
      </c>
      <c r="GB36" s="560">
        <v>19.3</v>
      </c>
      <c r="GC36" s="560">
        <v>19.5</v>
      </c>
      <c r="GD36" s="560">
        <v>19.8</v>
      </c>
      <c r="GE36" s="560">
        <v>20</v>
      </c>
      <c r="GF36" s="560">
        <v>20</v>
      </c>
      <c r="GG36" s="560">
        <v>20</v>
      </c>
      <c r="GH36" s="560">
        <v>19.8</v>
      </c>
      <c r="GI36" s="560">
        <v>19.7</v>
      </c>
      <c r="GJ36" s="560">
        <v>19.8</v>
      </c>
      <c r="GK36" s="560">
        <v>20</v>
      </c>
      <c r="GL36" s="560">
        <v>20.2</v>
      </c>
      <c r="GM36" s="560">
        <v>20.399999999999999</v>
      </c>
      <c r="GN36" s="560">
        <v>20.5</v>
      </c>
      <c r="GO36" s="560">
        <v>20.5</v>
      </c>
      <c r="GP36" s="560">
        <v>20.6</v>
      </c>
      <c r="GQ36" s="560">
        <v>20.5</v>
      </c>
      <c r="GR36" s="560">
        <v>20.3</v>
      </c>
      <c r="GS36" s="560">
        <v>20.2</v>
      </c>
      <c r="GT36" s="560">
        <v>20.100000000000001</v>
      </c>
      <c r="GU36" s="560">
        <v>19.100000000000001</v>
      </c>
      <c r="GV36" s="560">
        <v>19.899999999999999</v>
      </c>
      <c r="GW36" s="560">
        <v>20.5</v>
      </c>
      <c r="GX36" s="560">
        <v>21.2</v>
      </c>
      <c r="GY36" s="560">
        <v>21.9</v>
      </c>
    </row>
    <row r="37" spans="1:207">
      <c r="A37" s="560" t="s">
        <v>233</v>
      </c>
      <c r="B37" s="560">
        <v>14.7</v>
      </c>
      <c r="C37" s="560">
        <v>15.6</v>
      </c>
      <c r="D37" s="560">
        <v>16.600000000000001</v>
      </c>
      <c r="E37" s="560">
        <v>17.5</v>
      </c>
      <c r="F37" s="560">
        <v>18.3</v>
      </c>
      <c r="G37" s="560">
        <v>19.100000000000001</v>
      </c>
      <c r="H37" s="560">
        <v>19.600000000000001</v>
      </c>
      <c r="I37" s="560">
        <v>20.3</v>
      </c>
      <c r="J37" s="560">
        <v>21.2</v>
      </c>
      <c r="K37" s="560">
        <v>21.6</v>
      </c>
      <c r="L37" s="560">
        <v>22.5</v>
      </c>
      <c r="M37" s="560">
        <v>22.5</v>
      </c>
      <c r="N37" s="560">
        <v>23.2</v>
      </c>
      <c r="O37" s="560">
        <v>24</v>
      </c>
      <c r="P37" s="560">
        <v>24.2</v>
      </c>
      <c r="Q37" s="560">
        <v>25</v>
      </c>
      <c r="R37" s="560">
        <v>23.4</v>
      </c>
      <c r="S37" s="560">
        <v>24.7</v>
      </c>
      <c r="T37" s="560">
        <v>25.9</v>
      </c>
      <c r="U37" s="560">
        <v>27.1</v>
      </c>
      <c r="V37" s="560">
        <v>29.2</v>
      </c>
      <c r="W37" s="560">
        <v>30.5</v>
      </c>
      <c r="X37" s="560">
        <v>31</v>
      </c>
      <c r="Y37" s="560">
        <v>32.6</v>
      </c>
      <c r="Z37" s="560">
        <v>33.4</v>
      </c>
      <c r="AA37" s="560">
        <v>33.4</v>
      </c>
      <c r="AB37" s="560">
        <v>34.700000000000003</v>
      </c>
      <c r="AC37" s="560">
        <v>35</v>
      </c>
      <c r="AD37" s="560">
        <v>35.700000000000003</v>
      </c>
      <c r="AE37" s="560">
        <v>37.5</v>
      </c>
      <c r="AF37" s="560">
        <v>37.299999999999997</v>
      </c>
      <c r="AG37" s="560">
        <v>37.700000000000003</v>
      </c>
      <c r="AH37" s="560">
        <v>39.200000000000003</v>
      </c>
      <c r="AI37" s="560">
        <v>41</v>
      </c>
      <c r="AJ37" s="560">
        <v>41.3</v>
      </c>
      <c r="AK37" s="560">
        <v>41.7</v>
      </c>
      <c r="AL37" s="560">
        <v>42.4</v>
      </c>
      <c r="AM37" s="560">
        <v>43.5</v>
      </c>
      <c r="AN37" s="560">
        <v>44.5</v>
      </c>
      <c r="AO37" s="560">
        <v>46.9</v>
      </c>
      <c r="AP37" s="560">
        <v>49.1</v>
      </c>
      <c r="AQ37" s="560">
        <v>49</v>
      </c>
      <c r="AR37" s="560">
        <v>52.4</v>
      </c>
      <c r="AS37" s="560">
        <v>54.3</v>
      </c>
      <c r="AT37" s="560">
        <v>55.6</v>
      </c>
      <c r="AU37" s="560">
        <v>57.4</v>
      </c>
      <c r="AV37" s="560">
        <v>57.7</v>
      </c>
      <c r="AW37" s="560">
        <v>57.7</v>
      </c>
      <c r="AX37" s="560">
        <v>59</v>
      </c>
      <c r="AY37" s="560">
        <v>61</v>
      </c>
      <c r="AZ37" s="560">
        <v>62.1</v>
      </c>
      <c r="BA37" s="560">
        <v>62.6</v>
      </c>
      <c r="BB37" s="560">
        <v>65.8</v>
      </c>
      <c r="BC37" s="560">
        <v>66.3</v>
      </c>
      <c r="BD37" s="560">
        <v>67.2</v>
      </c>
      <c r="BE37" s="560">
        <v>68.3</v>
      </c>
      <c r="BF37" s="560">
        <v>69.900000000000006</v>
      </c>
      <c r="BG37" s="560">
        <v>70.599999999999994</v>
      </c>
      <c r="BH37" s="560">
        <v>71.3</v>
      </c>
      <c r="BI37" s="560">
        <v>72.8</v>
      </c>
      <c r="BJ37" s="560">
        <v>74.900000000000006</v>
      </c>
      <c r="BK37" s="560">
        <v>76.3</v>
      </c>
      <c r="BL37" s="560">
        <v>78.099999999999994</v>
      </c>
      <c r="BM37" s="560">
        <v>79.8</v>
      </c>
      <c r="BN37" s="560">
        <v>81.599999999999994</v>
      </c>
      <c r="BO37" s="560">
        <v>83.6</v>
      </c>
      <c r="BP37" s="560">
        <v>85.3</v>
      </c>
      <c r="BQ37" s="560">
        <v>86.9</v>
      </c>
      <c r="BR37" s="560">
        <v>88.3</v>
      </c>
      <c r="BS37" s="560">
        <v>89.9</v>
      </c>
      <c r="BT37" s="560">
        <v>91.6</v>
      </c>
      <c r="BU37" s="560">
        <v>93.1</v>
      </c>
      <c r="BV37" s="560">
        <v>95.3</v>
      </c>
      <c r="BW37" s="560">
        <v>97.3</v>
      </c>
      <c r="BX37" s="560">
        <v>99.5</v>
      </c>
      <c r="BY37" s="560">
        <v>101.9</v>
      </c>
      <c r="BZ37" s="560">
        <v>104.2</v>
      </c>
      <c r="CA37" s="560">
        <v>107.3</v>
      </c>
      <c r="CB37" s="560">
        <v>111</v>
      </c>
      <c r="CC37" s="560">
        <v>114.8</v>
      </c>
      <c r="CD37" s="560">
        <v>118.8</v>
      </c>
      <c r="CE37" s="560">
        <v>124.2</v>
      </c>
      <c r="CF37" s="560">
        <v>130.30000000000001</v>
      </c>
      <c r="CG37" s="560">
        <v>137.4</v>
      </c>
      <c r="CH37" s="560">
        <v>141.5</v>
      </c>
      <c r="CI37" s="560">
        <v>152.19999999999999</v>
      </c>
      <c r="CJ37" s="560">
        <v>158.6</v>
      </c>
      <c r="CK37" s="560">
        <v>173.8</v>
      </c>
      <c r="CL37" s="560">
        <v>170.5</v>
      </c>
      <c r="CM37" s="560">
        <v>178.6</v>
      </c>
      <c r="CN37" s="560">
        <v>185.8</v>
      </c>
      <c r="CO37" s="560">
        <v>185</v>
      </c>
      <c r="CP37" s="560">
        <v>188.9</v>
      </c>
      <c r="CQ37" s="560">
        <v>189.7</v>
      </c>
      <c r="CR37" s="560">
        <v>200.6</v>
      </c>
      <c r="CS37" s="560">
        <v>201.7</v>
      </c>
      <c r="CT37" s="560">
        <v>203.6</v>
      </c>
      <c r="CU37" s="560">
        <v>203.9</v>
      </c>
      <c r="CV37" s="560">
        <v>203.7</v>
      </c>
      <c r="CW37" s="560">
        <v>215.7</v>
      </c>
      <c r="CX37" s="560">
        <v>220.4</v>
      </c>
      <c r="CY37" s="560">
        <v>220.7</v>
      </c>
      <c r="CZ37" s="560">
        <v>220.7</v>
      </c>
      <c r="DA37" s="560">
        <v>208.8</v>
      </c>
      <c r="DB37" s="560">
        <v>218.2</v>
      </c>
      <c r="DC37" s="560">
        <v>232.2</v>
      </c>
      <c r="DD37" s="560">
        <v>224.8</v>
      </c>
      <c r="DE37" s="560">
        <v>221.7</v>
      </c>
      <c r="DF37" s="560">
        <v>226</v>
      </c>
      <c r="DG37" s="560">
        <v>223.7</v>
      </c>
      <c r="DH37" s="560">
        <v>228</v>
      </c>
      <c r="DI37" s="560">
        <v>232.4</v>
      </c>
      <c r="DJ37" s="560">
        <v>232.1</v>
      </c>
      <c r="DK37" s="560">
        <v>235.3</v>
      </c>
      <c r="DL37" s="560">
        <v>233.9</v>
      </c>
      <c r="DM37" s="560">
        <v>241.7</v>
      </c>
      <c r="DN37" s="560">
        <v>247.8</v>
      </c>
      <c r="DO37" s="560">
        <v>246.4</v>
      </c>
      <c r="DP37" s="560">
        <v>255</v>
      </c>
      <c r="DQ37" s="560">
        <v>260.2</v>
      </c>
      <c r="DR37" s="560">
        <v>260.10000000000002</v>
      </c>
      <c r="DS37" s="560">
        <v>269.39999999999998</v>
      </c>
      <c r="DT37" s="560">
        <v>277.2</v>
      </c>
      <c r="DU37" s="560">
        <v>279.10000000000002</v>
      </c>
      <c r="DV37" s="560">
        <v>290.39999999999998</v>
      </c>
      <c r="DW37" s="560">
        <v>308</v>
      </c>
      <c r="DX37" s="560">
        <v>295.8</v>
      </c>
      <c r="DY37" s="560">
        <v>326</v>
      </c>
      <c r="DZ37" s="560">
        <v>326</v>
      </c>
      <c r="EA37" s="560">
        <v>326</v>
      </c>
      <c r="EB37" s="560">
        <v>334.7</v>
      </c>
      <c r="EC37" s="560">
        <v>345.4</v>
      </c>
      <c r="ED37" s="560">
        <v>347</v>
      </c>
      <c r="EE37" s="560">
        <v>348.3</v>
      </c>
      <c r="EF37" s="560">
        <v>361.8</v>
      </c>
      <c r="EG37" s="560">
        <v>357</v>
      </c>
      <c r="EH37" s="560">
        <v>376</v>
      </c>
      <c r="EI37" s="560">
        <v>387.1</v>
      </c>
      <c r="EJ37" s="560">
        <v>385.7</v>
      </c>
      <c r="EK37" s="560">
        <v>391</v>
      </c>
      <c r="EL37" s="560">
        <v>399.1</v>
      </c>
      <c r="EM37" s="560">
        <v>410</v>
      </c>
      <c r="EN37" s="560">
        <v>409.1</v>
      </c>
      <c r="EO37" s="560">
        <v>407.9</v>
      </c>
      <c r="EP37" s="560">
        <v>394</v>
      </c>
      <c r="EQ37" s="560">
        <v>399.2</v>
      </c>
      <c r="ER37" s="560">
        <v>414.4</v>
      </c>
      <c r="ES37" s="560">
        <v>408.1</v>
      </c>
      <c r="ET37" s="560">
        <v>440.1</v>
      </c>
      <c r="EU37" s="560">
        <v>423.7</v>
      </c>
      <c r="EV37" s="560">
        <v>429.9</v>
      </c>
      <c r="EW37" s="560">
        <v>442.3</v>
      </c>
      <c r="EX37" s="560">
        <v>446.3</v>
      </c>
      <c r="EY37" s="560">
        <v>456</v>
      </c>
      <c r="EZ37" s="560">
        <v>460</v>
      </c>
      <c r="FA37" s="560">
        <v>462.1</v>
      </c>
      <c r="FB37" s="560">
        <v>480.2</v>
      </c>
      <c r="FC37" s="560">
        <v>492</v>
      </c>
      <c r="FD37" s="560">
        <v>502.4</v>
      </c>
      <c r="FE37" s="560">
        <v>498.2</v>
      </c>
      <c r="FF37" s="560">
        <v>508.7</v>
      </c>
      <c r="FG37" s="560">
        <v>513</v>
      </c>
      <c r="FH37" s="560">
        <v>533.20000000000005</v>
      </c>
      <c r="FI37" s="560">
        <v>540.79999999999995</v>
      </c>
      <c r="FJ37" s="560">
        <v>544.4</v>
      </c>
      <c r="FK37" s="560">
        <v>534.70000000000005</v>
      </c>
      <c r="FL37" s="560">
        <v>520.70000000000005</v>
      </c>
      <c r="FM37" s="560">
        <v>522.9</v>
      </c>
      <c r="FN37" s="560">
        <v>523.9</v>
      </c>
      <c r="FO37" s="560">
        <v>544.4</v>
      </c>
      <c r="FP37" s="560">
        <v>542</v>
      </c>
      <c r="FQ37" s="560">
        <v>552.70000000000005</v>
      </c>
      <c r="FR37" s="560">
        <v>548.4</v>
      </c>
      <c r="FS37" s="560">
        <v>562.79999999999995</v>
      </c>
      <c r="FT37" s="560">
        <v>572.79999999999995</v>
      </c>
      <c r="FU37" s="560">
        <v>573.6</v>
      </c>
      <c r="FV37" s="560">
        <v>585.1</v>
      </c>
      <c r="FW37" s="560">
        <v>607.79999999999995</v>
      </c>
      <c r="FX37" s="560">
        <v>634.1</v>
      </c>
      <c r="FY37" s="560">
        <v>643.20000000000005</v>
      </c>
      <c r="FZ37" s="560">
        <v>652.20000000000005</v>
      </c>
      <c r="GA37" s="560">
        <v>667.3</v>
      </c>
      <c r="GB37" s="560">
        <v>670.2</v>
      </c>
      <c r="GC37" s="560">
        <v>671.5</v>
      </c>
      <c r="GD37" s="560">
        <v>679.9</v>
      </c>
      <c r="GE37" s="560">
        <v>688.5</v>
      </c>
      <c r="GF37" s="560">
        <v>697.2</v>
      </c>
      <c r="GG37" s="560">
        <v>706.6</v>
      </c>
      <c r="GH37" s="560">
        <v>704.7</v>
      </c>
      <c r="GI37" s="560">
        <v>701.5</v>
      </c>
      <c r="GJ37" s="560">
        <v>717</v>
      </c>
      <c r="GK37" s="560">
        <v>712.1</v>
      </c>
      <c r="GL37" s="560">
        <v>719.6</v>
      </c>
      <c r="GM37" s="560">
        <v>731.7</v>
      </c>
      <c r="GN37" s="560">
        <v>735.9</v>
      </c>
      <c r="GO37" s="560">
        <v>731.6</v>
      </c>
      <c r="GP37" s="560">
        <v>741.5</v>
      </c>
      <c r="GQ37" s="560">
        <v>758.6</v>
      </c>
      <c r="GR37" s="560">
        <v>767.8</v>
      </c>
      <c r="GS37" s="560">
        <v>767.1</v>
      </c>
      <c r="GT37" s="560">
        <v>755.9</v>
      </c>
      <c r="GU37" s="560">
        <v>803.8</v>
      </c>
      <c r="GV37" s="560">
        <v>842.2</v>
      </c>
      <c r="GW37" s="560">
        <v>831.1</v>
      </c>
      <c r="GX37" s="560">
        <v>850</v>
      </c>
      <c r="GY37" s="560">
        <v>890.5</v>
      </c>
    </row>
    <row r="38" spans="1:207">
      <c r="A38" s="560" t="s">
        <v>234</v>
      </c>
      <c r="B38" s="560">
        <v>129.9</v>
      </c>
      <c r="C38" s="560">
        <v>134.1</v>
      </c>
      <c r="D38" s="560">
        <v>140.1</v>
      </c>
      <c r="E38" s="560">
        <v>144.30000000000001</v>
      </c>
      <c r="F38" s="560">
        <v>149.1</v>
      </c>
      <c r="G38" s="560">
        <v>153.6</v>
      </c>
      <c r="H38" s="560">
        <v>156.9</v>
      </c>
      <c r="I38" s="560">
        <v>161</v>
      </c>
      <c r="J38" s="560">
        <v>165.7</v>
      </c>
      <c r="K38" s="560">
        <v>167.9</v>
      </c>
      <c r="L38" s="560">
        <v>172.5</v>
      </c>
      <c r="M38" s="560">
        <v>176.8</v>
      </c>
      <c r="N38" s="560">
        <v>181.7</v>
      </c>
      <c r="O38" s="560">
        <v>185.7</v>
      </c>
      <c r="P38" s="560">
        <v>190</v>
      </c>
      <c r="Q38" s="560">
        <v>195.9</v>
      </c>
      <c r="R38" s="560">
        <v>201.1</v>
      </c>
      <c r="S38" s="560">
        <v>210.1</v>
      </c>
      <c r="T38" s="560">
        <v>217</v>
      </c>
      <c r="U38" s="560">
        <v>223.7</v>
      </c>
      <c r="V38" s="560">
        <v>235.9</v>
      </c>
      <c r="W38" s="560">
        <v>240.3</v>
      </c>
      <c r="X38" s="560">
        <v>246.6</v>
      </c>
      <c r="Y38" s="560">
        <v>254.2</v>
      </c>
      <c r="Z38" s="560">
        <v>260.3</v>
      </c>
      <c r="AA38" s="560">
        <v>259.39999999999998</v>
      </c>
      <c r="AB38" s="560">
        <v>261.3</v>
      </c>
      <c r="AC38" s="560">
        <v>263.89999999999998</v>
      </c>
      <c r="AD38" s="560">
        <v>271.10000000000002</v>
      </c>
      <c r="AE38" s="560">
        <v>278.60000000000002</v>
      </c>
      <c r="AF38" s="560">
        <v>282.3</v>
      </c>
      <c r="AG38" s="560">
        <v>287.5</v>
      </c>
      <c r="AH38" s="560">
        <v>292.5</v>
      </c>
      <c r="AI38" s="560">
        <v>306</v>
      </c>
      <c r="AJ38" s="560">
        <v>313.5</v>
      </c>
      <c r="AK38" s="560">
        <v>320.5</v>
      </c>
      <c r="AL38" s="560">
        <v>323.2</v>
      </c>
      <c r="AM38" s="560">
        <v>333.2</v>
      </c>
      <c r="AN38" s="560">
        <v>344.8</v>
      </c>
      <c r="AO38" s="560">
        <v>356.1</v>
      </c>
      <c r="AP38" s="560">
        <v>367.6</v>
      </c>
      <c r="AQ38" s="560">
        <v>371.7</v>
      </c>
      <c r="AR38" s="560">
        <v>379.1</v>
      </c>
      <c r="AS38" s="560">
        <v>388.1</v>
      </c>
      <c r="AT38" s="560">
        <v>402.6</v>
      </c>
      <c r="AU38" s="560">
        <v>405.3</v>
      </c>
      <c r="AV38" s="560">
        <v>409.8</v>
      </c>
      <c r="AW38" s="560">
        <v>418.5</v>
      </c>
      <c r="AX38" s="560">
        <v>425.5</v>
      </c>
      <c r="AY38" s="560">
        <v>435.4</v>
      </c>
      <c r="AZ38" s="560">
        <v>443.4</v>
      </c>
      <c r="BA38" s="560">
        <v>452.9</v>
      </c>
      <c r="BB38" s="560">
        <v>461.9</v>
      </c>
      <c r="BC38" s="560">
        <v>467.5</v>
      </c>
      <c r="BD38" s="560">
        <v>476.7</v>
      </c>
      <c r="BE38" s="560">
        <v>482.1</v>
      </c>
      <c r="BF38" s="560">
        <v>495.1</v>
      </c>
      <c r="BG38" s="560">
        <v>505.9</v>
      </c>
      <c r="BH38" s="560">
        <v>518.29999999999995</v>
      </c>
      <c r="BI38" s="560">
        <v>529.29999999999995</v>
      </c>
      <c r="BJ38" s="560">
        <v>542.70000000000005</v>
      </c>
      <c r="BK38" s="560">
        <v>557.70000000000005</v>
      </c>
      <c r="BL38" s="560">
        <v>571.6</v>
      </c>
      <c r="BM38" s="560">
        <v>582.20000000000005</v>
      </c>
      <c r="BN38" s="560">
        <v>595.9</v>
      </c>
      <c r="BO38" s="560">
        <v>605.5</v>
      </c>
      <c r="BP38" s="560">
        <v>616.5</v>
      </c>
      <c r="BQ38" s="560">
        <v>626.29999999999995</v>
      </c>
      <c r="BR38" s="560">
        <v>637.79999999999995</v>
      </c>
      <c r="BS38" s="560">
        <v>646.9</v>
      </c>
      <c r="BT38" s="560">
        <v>656.4</v>
      </c>
      <c r="BU38" s="560">
        <v>668.1</v>
      </c>
      <c r="BV38" s="560">
        <v>678.6</v>
      </c>
      <c r="BW38" s="560">
        <v>693.1</v>
      </c>
      <c r="BX38" s="560">
        <v>703.2</v>
      </c>
      <c r="BY38" s="560">
        <v>720.1</v>
      </c>
      <c r="BZ38" s="560">
        <v>736.6</v>
      </c>
      <c r="CA38" s="560">
        <v>755.1</v>
      </c>
      <c r="CB38" s="560">
        <v>770.4</v>
      </c>
      <c r="CC38" s="560">
        <v>790</v>
      </c>
      <c r="CD38" s="560">
        <v>811.4</v>
      </c>
      <c r="CE38" s="560">
        <v>824.1</v>
      </c>
      <c r="CF38" s="560">
        <v>843.9</v>
      </c>
      <c r="CG38" s="560">
        <v>871</v>
      </c>
      <c r="CH38" s="560">
        <v>881.6</v>
      </c>
      <c r="CI38" s="560">
        <v>901.3</v>
      </c>
      <c r="CJ38" s="560">
        <v>919.2</v>
      </c>
      <c r="CK38" s="560">
        <v>947</v>
      </c>
      <c r="CL38" s="560">
        <v>959.3</v>
      </c>
      <c r="CM38" s="560">
        <v>975.2</v>
      </c>
      <c r="CN38" s="560">
        <v>988.2</v>
      </c>
      <c r="CO38" s="560">
        <v>991.3</v>
      </c>
      <c r="CP38" s="560">
        <v>1001.1</v>
      </c>
      <c r="CQ38" s="560">
        <v>1011.6</v>
      </c>
      <c r="CR38" s="560">
        <v>1028.0999999999999</v>
      </c>
      <c r="CS38" s="560">
        <v>1036.0999999999999</v>
      </c>
      <c r="CT38" s="560">
        <v>1046.5999999999999</v>
      </c>
      <c r="CU38" s="560">
        <v>1060.5</v>
      </c>
      <c r="CV38" s="560">
        <v>1077.4000000000001</v>
      </c>
      <c r="CW38" s="560">
        <v>1100.7</v>
      </c>
      <c r="CX38" s="560">
        <v>1118.5</v>
      </c>
      <c r="CY38" s="560">
        <v>1132.8</v>
      </c>
      <c r="CZ38" s="560">
        <v>1136.8</v>
      </c>
      <c r="DA38" s="560">
        <v>1131.2</v>
      </c>
      <c r="DB38" s="560">
        <v>1145.0999999999999</v>
      </c>
      <c r="DC38" s="560">
        <v>1171.4000000000001</v>
      </c>
      <c r="DD38" s="560">
        <v>1176</v>
      </c>
      <c r="DE38" s="560">
        <v>1192</v>
      </c>
      <c r="DF38" s="560">
        <v>1202.5</v>
      </c>
      <c r="DG38" s="560">
        <v>1209</v>
      </c>
      <c r="DH38" s="560">
        <v>1225.5</v>
      </c>
      <c r="DI38" s="560">
        <v>1243.5</v>
      </c>
      <c r="DJ38" s="560">
        <v>1250.5</v>
      </c>
      <c r="DK38" s="560">
        <v>1272.2</v>
      </c>
      <c r="DL38" s="560">
        <v>1290.9000000000001</v>
      </c>
      <c r="DM38" s="560">
        <v>1312.2</v>
      </c>
      <c r="DN38" s="560">
        <v>1338.9</v>
      </c>
      <c r="DO38" s="560">
        <v>1357.5</v>
      </c>
      <c r="DP38" s="560">
        <v>1388.2</v>
      </c>
      <c r="DQ38" s="560">
        <v>1417.2</v>
      </c>
      <c r="DR38" s="560">
        <v>1435.6</v>
      </c>
      <c r="DS38" s="560">
        <v>1453</v>
      </c>
      <c r="DT38" s="560">
        <v>1478</v>
      </c>
      <c r="DU38" s="560">
        <v>1507</v>
      </c>
      <c r="DV38" s="560">
        <v>1560.6</v>
      </c>
      <c r="DW38" s="560">
        <v>1617.6</v>
      </c>
      <c r="DX38" s="560">
        <v>1597.3</v>
      </c>
      <c r="DY38" s="560">
        <v>1656.2</v>
      </c>
      <c r="DZ38" s="560">
        <v>1677.3</v>
      </c>
      <c r="EA38" s="560">
        <v>1694.5</v>
      </c>
      <c r="EB38" s="560">
        <v>1724.4</v>
      </c>
      <c r="EC38" s="560">
        <v>1756.3</v>
      </c>
      <c r="ED38" s="560">
        <v>1781.7</v>
      </c>
      <c r="EE38" s="560">
        <v>1783.4</v>
      </c>
      <c r="EF38" s="560">
        <v>1811.7</v>
      </c>
      <c r="EG38" s="560">
        <v>1814.6</v>
      </c>
      <c r="EH38" s="560">
        <v>1843.6</v>
      </c>
      <c r="EI38" s="560">
        <v>1868.2</v>
      </c>
      <c r="EJ38" s="560">
        <v>1895.3</v>
      </c>
      <c r="EK38" s="560">
        <v>1903</v>
      </c>
      <c r="EL38" s="560">
        <v>1925.1</v>
      </c>
      <c r="EM38" s="560">
        <v>1952.9</v>
      </c>
      <c r="EN38" s="560">
        <v>1978</v>
      </c>
      <c r="EO38" s="560">
        <v>2024.5</v>
      </c>
      <c r="EP38" s="560">
        <v>2008</v>
      </c>
      <c r="EQ38" s="560">
        <v>2042.4</v>
      </c>
      <c r="ER38" s="560">
        <v>2078.5</v>
      </c>
      <c r="ES38" s="560">
        <v>2094.1999999999998</v>
      </c>
      <c r="ET38" s="560">
        <v>2165.9</v>
      </c>
      <c r="EU38" s="560">
        <v>2182.4</v>
      </c>
      <c r="EV38" s="560">
        <v>2205.9</v>
      </c>
      <c r="EW38" s="560">
        <v>2242.1</v>
      </c>
      <c r="EX38" s="560">
        <v>2256.4</v>
      </c>
      <c r="EY38" s="560">
        <v>2293.3000000000002</v>
      </c>
      <c r="EZ38" s="560">
        <v>2337.8000000000002</v>
      </c>
      <c r="FA38" s="560">
        <v>2337.1999999999998</v>
      </c>
      <c r="FB38" s="560">
        <v>2371.5</v>
      </c>
      <c r="FC38" s="560">
        <v>2419.8000000000002</v>
      </c>
      <c r="FD38" s="560">
        <v>2446.9</v>
      </c>
      <c r="FE38" s="560">
        <v>2444.5</v>
      </c>
      <c r="FF38" s="560">
        <v>2439.1</v>
      </c>
      <c r="FG38" s="560">
        <v>2443.1</v>
      </c>
      <c r="FH38" s="560">
        <v>2451.4</v>
      </c>
      <c r="FI38" s="560">
        <v>2452.3000000000002</v>
      </c>
      <c r="FJ38" s="560">
        <v>2451.4</v>
      </c>
      <c r="FK38" s="560">
        <v>2445</v>
      </c>
      <c r="FL38" s="560">
        <v>2423.3000000000002</v>
      </c>
      <c r="FM38" s="560">
        <v>2417.9</v>
      </c>
      <c r="FN38" s="560">
        <v>2431.3000000000002</v>
      </c>
      <c r="FO38" s="560">
        <v>2447.1999999999998</v>
      </c>
      <c r="FP38" s="560">
        <v>2448.6</v>
      </c>
      <c r="FQ38" s="560">
        <v>2475.8000000000002</v>
      </c>
      <c r="FR38" s="560">
        <v>2485.5</v>
      </c>
      <c r="FS38" s="560">
        <v>2507.5</v>
      </c>
      <c r="FT38" s="560">
        <v>2527.4</v>
      </c>
      <c r="FU38" s="560">
        <v>2529.9</v>
      </c>
      <c r="FV38" s="560">
        <v>2541.1</v>
      </c>
      <c r="FW38" s="560">
        <v>2578.9</v>
      </c>
      <c r="FX38" s="560">
        <v>2622.2</v>
      </c>
      <c r="FY38" s="560">
        <v>2647.2</v>
      </c>
      <c r="FZ38" s="560">
        <v>2652.9</v>
      </c>
      <c r="GA38" s="560">
        <v>2706.9</v>
      </c>
      <c r="GB38" s="560">
        <v>2729.6</v>
      </c>
      <c r="GC38" s="560">
        <v>2729.9</v>
      </c>
      <c r="GD38" s="560">
        <v>2758.2</v>
      </c>
      <c r="GE38" s="560">
        <v>2788.4</v>
      </c>
      <c r="GF38" s="560">
        <v>2815.9</v>
      </c>
      <c r="GG38" s="560">
        <v>2843.1</v>
      </c>
      <c r="GH38" s="560">
        <v>2862.6</v>
      </c>
      <c r="GI38" s="560">
        <v>2864.3</v>
      </c>
      <c r="GJ38" s="560">
        <v>2898</v>
      </c>
      <c r="GK38" s="560">
        <v>2918.2</v>
      </c>
      <c r="GL38" s="560">
        <v>2945.3</v>
      </c>
      <c r="GM38" s="560">
        <v>2984.8</v>
      </c>
      <c r="GN38" s="560">
        <v>3006.1</v>
      </c>
      <c r="GO38" s="560">
        <v>3004</v>
      </c>
      <c r="GP38" s="560">
        <v>3035.3</v>
      </c>
      <c r="GQ38" s="560">
        <v>3086.2</v>
      </c>
      <c r="GR38" s="560">
        <v>3105.8</v>
      </c>
      <c r="GS38" s="560">
        <v>3123.3</v>
      </c>
      <c r="GT38" s="560">
        <v>3150.9</v>
      </c>
      <c r="GU38" s="560">
        <v>3151.4</v>
      </c>
      <c r="GV38" s="560">
        <v>3195.1</v>
      </c>
      <c r="GW38" s="560">
        <v>3207.4</v>
      </c>
      <c r="GX38" s="560">
        <v>3260.6</v>
      </c>
      <c r="GY38" s="560">
        <v>3342.9</v>
      </c>
    </row>
    <row r="39" spans="1:207">
      <c r="A39" s="560" t="s">
        <v>235</v>
      </c>
      <c r="CP39" s="560">
        <v>78.072000000000003</v>
      </c>
      <c r="CQ39" s="560">
        <v>80.831000000000003</v>
      </c>
      <c r="CR39" s="560">
        <v>85.251000000000005</v>
      </c>
      <c r="CS39" s="560">
        <v>88.177999999999997</v>
      </c>
      <c r="CT39" s="560">
        <v>84.001999999999995</v>
      </c>
      <c r="CU39" s="560">
        <v>86.254999999999995</v>
      </c>
      <c r="CV39" s="560">
        <v>87.977999999999994</v>
      </c>
      <c r="CW39" s="560">
        <v>89.828999999999994</v>
      </c>
      <c r="CX39" s="560">
        <v>95.218000000000004</v>
      </c>
      <c r="CY39" s="560">
        <v>94.483999999999995</v>
      </c>
      <c r="CZ39" s="560">
        <v>93.858000000000004</v>
      </c>
      <c r="DA39" s="560">
        <v>92.180999999999997</v>
      </c>
      <c r="DB39" s="560">
        <v>94.539000000000001</v>
      </c>
      <c r="DC39" s="560">
        <v>102.461</v>
      </c>
      <c r="DD39" s="560">
        <v>99.671999999999997</v>
      </c>
      <c r="DE39" s="560">
        <v>97.608999999999995</v>
      </c>
      <c r="DF39" s="560">
        <v>98.691000000000003</v>
      </c>
      <c r="DG39" s="560">
        <v>98.641999999999996</v>
      </c>
      <c r="DH39" s="560">
        <v>101.001</v>
      </c>
      <c r="DI39" s="560">
        <v>105.738</v>
      </c>
      <c r="DJ39" s="560">
        <v>103.992</v>
      </c>
      <c r="DK39" s="560">
        <v>106.28700000000001</v>
      </c>
      <c r="DL39" s="560">
        <v>106.646</v>
      </c>
      <c r="DM39" s="560">
        <v>110.762</v>
      </c>
      <c r="DN39" s="560">
        <v>114.027</v>
      </c>
      <c r="DO39" s="560">
        <v>113.559</v>
      </c>
      <c r="DP39" s="560">
        <v>120.524</v>
      </c>
      <c r="DQ39" s="560">
        <v>121.904</v>
      </c>
      <c r="DR39" s="560">
        <v>121.898</v>
      </c>
      <c r="DS39" s="560">
        <v>123.319</v>
      </c>
      <c r="DT39" s="560">
        <v>133.626</v>
      </c>
      <c r="DU39" s="560">
        <v>129.62200000000001</v>
      </c>
      <c r="DV39" s="560">
        <v>138.71600000000001</v>
      </c>
      <c r="DW39" s="560">
        <v>145.774</v>
      </c>
      <c r="DX39" s="560">
        <v>143.21899999999999</v>
      </c>
      <c r="DY39" s="560">
        <v>153.809</v>
      </c>
      <c r="DZ39" s="560">
        <v>156.084</v>
      </c>
      <c r="EA39" s="560">
        <v>157.45500000000001</v>
      </c>
      <c r="EB39" s="560">
        <v>164.01</v>
      </c>
      <c r="EC39" s="560">
        <v>166.934</v>
      </c>
      <c r="ED39" s="560">
        <v>165.90600000000001</v>
      </c>
      <c r="EE39" s="560">
        <v>171.10599999999999</v>
      </c>
      <c r="EF39" s="560">
        <v>186.792</v>
      </c>
      <c r="EG39" s="560">
        <v>182.54300000000001</v>
      </c>
      <c r="EH39" s="560">
        <v>190.07</v>
      </c>
      <c r="EI39" s="560">
        <v>194.96299999999999</v>
      </c>
      <c r="EJ39" s="560">
        <v>186.476</v>
      </c>
      <c r="EK39" s="560">
        <v>191.75200000000001</v>
      </c>
      <c r="EL39" s="560">
        <v>199.036</v>
      </c>
      <c r="EM39" s="560">
        <v>200.24600000000001</v>
      </c>
      <c r="EN39" s="560">
        <v>195.23099999999999</v>
      </c>
      <c r="EO39" s="560">
        <v>197.352</v>
      </c>
      <c r="EP39" s="560">
        <v>191.74700000000001</v>
      </c>
      <c r="EQ39" s="560">
        <v>189.018</v>
      </c>
      <c r="ER39" s="560">
        <v>197.488</v>
      </c>
      <c r="ES39" s="560">
        <v>189.083</v>
      </c>
      <c r="ET39" s="560">
        <v>209.34700000000001</v>
      </c>
      <c r="EU39" s="560">
        <v>201.38300000000001</v>
      </c>
      <c r="EV39" s="560">
        <v>204.31800000000001</v>
      </c>
      <c r="EW39" s="560">
        <v>206.11</v>
      </c>
      <c r="EX39" s="560">
        <v>209.60300000000001</v>
      </c>
      <c r="EY39" s="560">
        <v>216.57</v>
      </c>
      <c r="EZ39" s="560">
        <v>213.01599999999999</v>
      </c>
      <c r="FA39" s="560">
        <v>217.49100000000001</v>
      </c>
      <c r="FB39" s="560">
        <v>266.40699999999998</v>
      </c>
      <c r="FC39" s="560">
        <v>284.52600000000001</v>
      </c>
      <c r="FD39" s="560">
        <v>273.90300000000002</v>
      </c>
      <c r="FE39" s="560">
        <v>272.34500000000003</v>
      </c>
      <c r="FF39" s="560">
        <v>283.26799999999997</v>
      </c>
      <c r="FG39" s="560">
        <v>290.80799999999999</v>
      </c>
      <c r="FH39" s="560">
        <v>297.13</v>
      </c>
      <c r="FI39" s="560">
        <v>309.66800000000001</v>
      </c>
      <c r="FJ39" s="560">
        <v>293.83999999999997</v>
      </c>
      <c r="FK39" s="560">
        <v>288.89999999999998</v>
      </c>
      <c r="FL39" s="560">
        <v>248.81299999999999</v>
      </c>
      <c r="FM39" s="560">
        <v>249.625</v>
      </c>
      <c r="FN39" s="560">
        <v>258.161</v>
      </c>
      <c r="FO39" s="560">
        <v>273.39</v>
      </c>
      <c r="FP39" s="560">
        <v>263.07900000000001</v>
      </c>
      <c r="FQ39" s="560">
        <v>269.70999999999998</v>
      </c>
      <c r="FR39" s="560">
        <v>272.06299999999999</v>
      </c>
      <c r="FS39" s="560">
        <v>283.40800000000002</v>
      </c>
      <c r="FT39" s="560">
        <v>281.45499999999998</v>
      </c>
      <c r="FU39" s="560">
        <v>282.10700000000003</v>
      </c>
      <c r="FV39" s="560">
        <v>303.39</v>
      </c>
      <c r="FW39" s="560">
        <v>320.01499999999999</v>
      </c>
      <c r="FX39" s="560">
        <v>343.69200000000001</v>
      </c>
      <c r="FY39" s="560">
        <v>345.71199999999999</v>
      </c>
      <c r="FZ39" s="560">
        <v>362.79199999999997</v>
      </c>
      <c r="GA39" s="560">
        <v>363.41</v>
      </c>
      <c r="GB39" s="560">
        <v>365.38400000000001</v>
      </c>
      <c r="GC39" s="560">
        <v>384.03199999999998</v>
      </c>
      <c r="GD39" s="560">
        <v>378.24599999999998</v>
      </c>
      <c r="GE39" s="560">
        <v>382.36700000000002</v>
      </c>
      <c r="GF39" s="560">
        <v>396.21600000000001</v>
      </c>
      <c r="GG39" s="560">
        <v>408.32299999999998</v>
      </c>
      <c r="GH39" s="560">
        <v>396.83800000000002</v>
      </c>
      <c r="GI39" s="560">
        <v>371.19600000000003</v>
      </c>
      <c r="GJ39" s="560">
        <v>396.81799999999998</v>
      </c>
      <c r="GK39" s="560">
        <v>402.67599999999999</v>
      </c>
      <c r="GL39" s="560">
        <v>413.024</v>
      </c>
      <c r="GM39" s="560">
        <v>403.04300000000001</v>
      </c>
      <c r="GN39" s="560">
        <v>412.24599999999998</v>
      </c>
      <c r="GO39" s="560">
        <v>412.041</v>
      </c>
      <c r="GP39" s="560">
        <v>430.08</v>
      </c>
      <c r="GQ39" s="560">
        <v>435.61799999999999</v>
      </c>
      <c r="GR39" s="560">
        <v>436.89699999999999</v>
      </c>
      <c r="GS39" s="560">
        <v>438.40800000000002</v>
      </c>
      <c r="GT39" s="560">
        <v>451.67099999999999</v>
      </c>
      <c r="GU39" s="560">
        <v>589.274</v>
      </c>
      <c r="GV39" s="560">
        <v>532.923</v>
      </c>
      <c r="GW39" s="560">
        <v>545.54899999999998</v>
      </c>
      <c r="GX39" s="560">
        <v>552.85900000000004</v>
      </c>
      <c r="GY39" s="560">
        <v>553.56399999999996</v>
      </c>
    </row>
    <row r="40" spans="1:207">
      <c r="A40" s="560" t="s">
        <v>236</v>
      </c>
      <c r="CP40" s="560">
        <v>73.888000000000005</v>
      </c>
      <c r="CQ40" s="560">
        <v>76.036000000000001</v>
      </c>
      <c r="CR40" s="560">
        <v>80.603999999999999</v>
      </c>
      <c r="CS40" s="560">
        <v>84.1</v>
      </c>
      <c r="CT40" s="560">
        <v>78.947999999999993</v>
      </c>
      <c r="CU40" s="560">
        <v>81.772000000000006</v>
      </c>
      <c r="CV40" s="560">
        <v>82.891999999999996</v>
      </c>
      <c r="CW40" s="560">
        <v>85.54</v>
      </c>
      <c r="CX40" s="560">
        <v>90.524000000000001</v>
      </c>
      <c r="CY40" s="560">
        <v>90.54</v>
      </c>
      <c r="CZ40" s="560">
        <v>89.28</v>
      </c>
      <c r="DA40" s="560">
        <v>87.567999999999998</v>
      </c>
      <c r="DB40" s="560">
        <v>88.772000000000006</v>
      </c>
      <c r="DC40" s="560">
        <v>96.376000000000005</v>
      </c>
      <c r="DD40" s="560">
        <v>94.872</v>
      </c>
      <c r="DE40" s="560">
        <v>93.891999999999996</v>
      </c>
      <c r="DF40" s="560">
        <v>95.98</v>
      </c>
      <c r="DG40" s="560">
        <v>94.924000000000007</v>
      </c>
      <c r="DH40" s="560">
        <v>97.108000000000004</v>
      </c>
      <c r="DI40" s="560">
        <v>101.384</v>
      </c>
      <c r="DJ40" s="560">
        <v>99.444000000000003</v>
      </c>
      <c r="DK40" s="560">
        <v>101.608</v>
      </c>
      <c r="DL40" s="560">
        <v>102.26</v>
      </c>
      <c r="DM40" s="560">
        <v>103.952</v>
      </c>
      <c r="DN40" s="560">
        <v>107.1</v>
      </c>
      <c r="DO40" s="560">
        <v>107.208</v>
      </c>
      <c r="DP40" s="560">
        <v>113.428</v>
      </c>
      <c r="DQ40" s="560">
        <v>114.62</v>
      </c>
      <c r="DR40" s="560">
        <v>114.852</v>
      </c>
      <c r="DS40" s="560">
        <v>116.16800000000001</v>
      </c>
      <c r="DT40" s="560">
        <v>125.392</v>
      </c>
      <c r="DU40" s="560">
        <v>121.748</v>
      </c>
      <c r="DV40" s="560">
        <v>129.38800000000001</v>
      </c>
      <c r="DW40" s="560">
        <v>132.12799999999999</v>
      </c>
      <c r="DX40" s="560">
        <v>133.364</v>
      </c>
      <c r="DY40" s="560">
        <v>143.65199999999999</v>
      </c>
      <c r="DZ40" s="560">
        <v>145.547</v>
      </c>
      <c r="EA40" s="560">
        <v>146.352</v>
      </c>
      <c r="EB40" s="560">
        <v>152.89599999999999</v>
      </c>
      <c r="EC40" s="560">
        <v>155.30699999999999</v>
      </c>
      <c r="ED40" s="560">
        <v>154.37799999999999</v>
      </c>
      <c r="EE40" s="560">
        <v>158.02000000000001</v>
      </c>
      <c r="EF40" s="560">
        <v>174.22900000000001</v>
      </c>
      <c r="EG40" s="560">
        <v>170.506</v>
      </c>
      <c r="EH40" s="560">
        <v>177.77199999999999</v>
      </c>
      <c r="EI40" s="560">
        <v>182.69200000000001</v>
      </c>
      <c r="EJ40" s="560">
        <v>173.33</v>
      </c>
      <c r="EK40" s="560">
        <v>177.28200000000001</v>
      </c>
      <c r="EL40" s="560">
        <v>183.90799999999999</v>
      </c>
      <c r="EM40" s="560">
        <v>185.81800000000001</v>
      </c>
      <c r="EN40" s="560">
        <v>179.68299999999999</v>
      </c>
      <c r="EO40" s="560">
        <v>182.94399999999999</v>
      </c>
      <c r="EP40" s="560">
        <v>175.95599999999999</v>
      </c>
      <c r="EQ40" s="560">
        <v>176.53</v>
      </c>
      <c r="ER40" s="560">
        <v>186.733</v>
      </c>
      <c r="ES40" s="560">
        <v>177.65899999999999</v>
      </c>
      <c r="ET40" s="560">
        <v>200.21799999999999</v>
      </c>
      <c r="EU40" s="560">
        <v>190.602</v>
      </c>
      <c r="EV40" s="560">
        <v>194.11099999999999</v>
      </c>
      <c r="EW40" s="560">
        <v>196.02799999999999</v>
      </c>
      <c r="EX40" s="560">
        <v>200.29400000000001</v>
      </c>
      <c r="EY40" s="560">
        <v>203.79400000000001</v>
      </c>
      <c r="EZ40" s="560">
        <v>205.059</v>
      </c>
      <c r="FA40" s="560">
        <v>208.505</v>
      </c>
      <c r="FB40" s="560">
        <v>256.94400000000002</v>
      </c>
      <c r="FC40" s="560">
        <v>274.66399999999999</v>
      </c>
      <c r="FD40" s="560">
        <v>263.92399999999998</v>
      </c>
      <c r="FE40" s="560">
        <v>261.94400000000002</v>
      </c>
      <c r="FF40" s="560">
        <v>271.84399999999999</v>
      </c>
      <c r="FG40" s="560">
        <v>272.45600000000002</v>
      </c>
      <c r="FH40" s="560">
        <v>283.69099999999997</v>
      </c>
      <c r="FI40" s="560">
        <v>297.60899999999998</v>
      </c>
      <c r="FJ40" s="560">
        <v>282.44499999999999</v>
      </c>
      <c r="FK40" s="560">
        <v>277.19600000000003</v>
      </c>
      <c r="FL40" s="560">
        <v>237.739</v>
      </c>
      <c r="FM40" s="560">
        <v>239.291</v>
      </c>
      <c r="FN40" s="560">
        <v>246.24799999999999</v>
      </c>
      <c r="FO40" s="560">
        <v>262.32400000000001</v>
      </c>
      <c r="FP40" s="560">
        <v>250.54</v>
      </c>
      <c r="FQ40" s="560">
        <v>259.56200000000001</v>
      </c>
      <c r="FR40" s="560">
        <v>258.45</v>
      </c>
      <c r="FS40" s="560">
        <v>270.887</v>
      </c>
      <c r="FT40" s="560">
        <v>269.279</v>
      </c>
      <c r="FU40" s="560">
        <v>269.98200000000003</v>
      </c>
      <c r="FV40" s="560">
        <v>291.58999999999997</v>
      </c>
      <c r="FW40" s="560">
        <v>307.77499999999998</v>
      </c>
      <c r="FX40" s="560">
        <v>332.4</v>
      </c>
      <c r="FY40" s="560">
        <v>335.61099999999999</v>
      </c>
      <c r="FZ40" s="560">
        <v>352.18799999999999</v>
      </c>
      <c r="GA40" s="560">
        <v>353.44200000000001</v>
      </c>
      <c r="GB40" s="560">
        <v>352.90899999999999</v>
      </c>
      <c r="GC40" s="560">
        <v>366.274</v>
      </c>
      <c r="GD40" s="560">
        <v>360.221</v>
      </c>
      <c r="GE40" s="560">
        <v>363.84399999999999</v>
      </c>
      <c r="GF40" s="560">
        <v>377.96699999999998</v>
      </c>
      <c r="GG40" s="560">
        <v>388.17599999999999</v>
      </c>
      <c r="GH40" s="560">
        <v>377.15800000000002</v>
      </c>
      <c r="GI40" s="560">
        <v>351.78300000000002</v>
      </c>
      <c r="GJ40" s="560">
        <v>376.51499999999999</v>
      </c>
      <c r="GK40" s="560">
        <v>383.63</v>
      </c>
      <c r="GL40" s="560">
        <v>391.815</v>
      </c>
      <c r="GM40" s="560">
        <v>383.23700000000002</v>
      </c>
      <c r="GN40" s="560">
        <v>392.27300000000002</v>
      </c>
      <c r="GO40" s="560">
        <v>390.86599999999999</v>
      </c>
      <c r="GP40" s="560">
        <v>408.75599999999997</v>
      </c>
      <c r="GQ40" s="560">
        <v>413.34399999999999</v>
      </c>
      <c r="GR40" s="560">
        <v>418.529</v>
      </c>
      <c r="GS40" s="560">
        <v>413.80599999999998</v>
      </c>
      <c r="GT40" s="560">
        <v>428.11799999999999</v>
      </c>
      <c r="GU40" s="560">
        <v>502.49</v>
      </c>
      <c r="GV40" s="560">
        <v>481.71699999999998</v>
      </c>
      <c r="GW40" s="560">
        <v>507.83699999999999</v>
      </c>
      <c r="GX40" s="560">
        <v>511.34500000000003</v>
      </c>
      <c r="GY40" s="560">
        <v>520.72900000000004</v>
      </c>
    </row>
    <row r="41" spans="1:207">
      <c r="A41" s="560" t="s">
        <v>237</v>
      </c>
      <c r="B41" s="560">
        <v>5.5759999999999996</v>
      </c>
      <c r="C41" s="560">
        <v>5.2279999999999998</v>
      </c>
      <c r="D41" s="560">
        <v>4.8159999999999998</v>
      </c>
      <c r="E41" s="560">
        <v>4.9000000000000004</v>
      </c>
      <c r="F41" s="560">
        <v>5.4640000000000004</v>
      </c>
      <c r="G41" s="560">
        <v>6.3120000000000003</v>
      </c>
      <c r="H41" s="560">
        <v>5.7560000000000002</v>
      </c>
      <c r="I41" s="560">
        <v>5.6440000000000001</v>
      </c>
      <c r="J41" s="560">
        <v>5.6680000000000001</v>
      </c>
      <c r="K41" s="560">
        <v>5.2160000000000002</v>
      </c>
      <c r="L41" s="560">
        <v>6.7240000000000002</v>
      </c>
      <c r="M41" s="560">
        <v>5.7</v>
      </c>
      <c r="N41" s="560">
        <v>5.74</v>
      </c>
      <c r="O41" s="560">
        <v>6.2080000000000002</v>
      </c>
      <c r="P41" s="560">
        <v>5.3440000000000003</v>
      </c>
      <c r="Q41" s="560">
        <v>5.92</v>
      </c>
      <c r="R41" s="560">
        <v>7.76</v>
      </c>
      <c r="S41" s="560">
        <v>8.5719999999999992</v>
      </c>
      <c r="T41" s="560">
        <v>6.4960000000000004</v>
      </c>
      <c r="U41" s="560">
        <v>7.84</v>
      </c>
      <c r="V41" s="560">
        <v>8.6519999999999992</v>
      </c>
      <c r="W41" s="560">
        <v>7.8040000000000003</v>
      </c>
      <c r="X41" s="560">
        <v>10.772</v>
      </c>
      <c r="Y41" s="560">
        <v>10.423999999999999</v>
      </c>
      <c r="Z41" s="560">
        <v>10.012</v>
      </c>
      <c r="AA41" s="560">
        <v>9.76</v>
      </c>
      <c r="AB41" s="560">
        <v>10.592000000000001</v>
      </c>
      <c r="AC41" s="560">
        <v>11.108000000000001</v>
      </c>
      <c r="AD41" s="560">
        <v>10.715999999999999</v>
      </c>
      <c r="AE41" s="560">
        <v>10.651999999999999</v>
      </c>
      <c r="AF41" s="560">
        <v>11.804</v>
      </c>
      <c r="AG41" s="560">
        <v>10.7</v>
      </c>
      <c r="AH41" s="560">
        <v>10.968</v>
      </c>
      <c r="AI41" s="560">
        <v>11.528</v>
      </c>
      <c r="AJ41" s="560">
        <v>11.907999999999999</v>
      </c>
      <c r="AK41" s="560">
        <v>12.528</v>
      </c>
      <c r="AL41" s="560">
        <v>13.592000000000001</v>
      </c>
      <c r="AM41" s="560">
        <v>13.048</v>
      </c>
      <c r="AN41" s="560">
        <v>14.292</v>
      </c>
      <c r="AO41" s="560">
        <v>15.752000000000001</v>
      </c>
      <c r="AP41" s="560">
        <v>16.260000000000002</v>
      </c>
      <c r="AQ41" s="560">
        <v>16.536000000000001</v>
      </c>
      <c r="AR41" s="560">
        <v>15.916</v>
      </c>
      <c r="AS41" s="560">
        <v>16.628</v>
      </c>
      <c r="AT41" s="560">
        <v>16.091999999999999</v>
      </c>
      <c r="AU41" s="560">
        <v>15.715999999999999</v>
      </c>
      <c r="AV41" s="560">
        <v>14.827999999999999</v>
      </c>
      <c r="AW41" s="560">
        <v>15.012</v>
      </c>
      <c r="AX41" s="560">
        <v>13.852</v>
      </c>
      <c r="AY41" s="560">
        <v>14.552</v>
      </c>
      <c r="AZ41" s="560">
        <v>14.544</v>
      </c>
      <c r="BA41" s="560">
        <v>14.484</v>
      </c>
      <c r="BB41" s="560">
        <v>15.9</v>
      </c>
      <c r="BC41" s="560">
        <v>14.2</v>
      </c>
      <c r="BD41" s="560">
        <v>15.904</v>
      </c>
      <c r="BE41" s="560">
        <v>15.768000000000001</v>
      </c>
      <c r="BF41" s="560">
        <v>16.556000000000001</v>
      </c>
      <c r="BG41" s="560">
        <v>17.236000000000001</v>
      </c>
      <c r="BH41" s="560">
        <v>18.091999999999999</v>
      </c>
      <c r="BI41" s="560">
        <v>18.824000000000002</v>
      </c>
      <c r="BJ41" s="560">
        <v>17.044</v>
      </c>
      <c r="BK41" s="560">
        <v>19.408000000000001</v>
      </c>
      <c r="BL41" s="560">
        <v>20.036000000000001</v>
      </c>
      <c r="BM41" s="560">
        <v>21.184000000000001</v>
      </c>
      <c r="BN41" s="560">
        <v>19.72</v>
      </c>
      <c r="BO41" s="560">
        <v>20.556000000000001</v>
      </c>
      <c r="BP41" s="560">
        <v>21.283999999999999</v>
      </c>
      <c r="BQ41" s="560">
        <v>18.32</v>
      </c>
      <c r="BR41" s="560">
        <v>18.760000000000002</v>
      </c>
      <c r="BS41" s="560">
        <v>19.559999999999999</v>
      </c>
      <c r="BT41" s="560">
        <v>18.827999999999999</v>
      </c>
      <c r="BU41" s="560">
        <v>18.696000000000002</v>
      </c>
      <c r="BV41" s="560">
        <v>18.972000000000001</v>
      </c>
      <c r="BW41" s="560">
        <v>19.835999999999999</v>
      </c>
      <c r="BX41" s="560">
        <v>20.388000000000002</v>
      </c>
      <c r="BY41" s="560">
        <v>19.283999999999999</v>
      </c>
      <c r="BZ41" s="560">
        <v>20.192</v>
      </c>
      <c r="CA41" s="560">
        <v>19.936</v>
      </c>
      <c r="CB41" s="560">
        <v>18.832000000000001</v>
      </c>
      <c r="CC41" s="560">
        <v>20.492000000000001</v>
      </c>
      <c r="CD41" s="560">
        <v>21.448</v>
      </c>
      <c r="CE41" s="560">
        <v>20.184000000000001</v>
      </c>
      <c r="CF41" s="560">
        <v>20.507999999999999</v>
      </c>
      <c r="CG41" s="560">
        <v>21.187999999999999</v>
      </c>
      <c r="CH41" s="560">
        <v>21.552</v>
      </c>
      <c r="CI41" s="560">
        <v>21.611999999999998</v>
      </c>
      <c r="CJ41" s="560">
        <v>21.056000000000001</v>
      </c>
      <c r="CK41" s="560">
        <v>20.611999999999998</v>
      </c>
      <c r="CL41" s="560">
        <v>21.388000000000002</v>
      </c>
      <c r="CM41" s="560">
        <v>22.8</v>
      </c>
      <c r="CN41" s="560">
        <v>22.288</v>
      </c>
      <c r="CO41" s="560">
        <v>23.064</v>
      </c>
      <c r="CP41" s="560">
        <v>21.783999999999999</v>
      </c>
      <c r="CQ41" s="560">
        <v>22.472000000000001</v>
      </c>
      <c r="CR41" s="560">
        <v>24.884</v>
      </c>
      <c r="CS41" s="560">
        <v>24.763999999999999</v>
      </c>
      <c r="CT41" s="560">
        <v>23.632000000000001</v>
      </c>
      <c r="CU41" s="560">
        <v>23.952000000000002</v>
      </c>
      <c r="CV41" s="560">
        <v>25.152000000000001</v>
      </c>
      <c r="CW41" s="560">
        <v>26.475999999999999</v>
      </c>
      <c r="CX41" s="560">
        <v>27.744</v>
      </c>
      <c r="CY41" s="560">
        <v>28.027999999999999</v>
      </c>
      <c r="CZ41" s="560">
        <v>26.448</v>
      </c>
      <c r="DA41" s="560">
        <v>26.815999999999999</v>
      </c>
      <c r="DB41" s="560">
        <v>29.135999999999999</v>
      </c>
      <c r="DC41" s="560">
        <v>27.904</v>
      </c>
      <c r="DD41" s="560">
        <v>27.116</v>
      </c>
      <c r="DE41" s="560">
        <v>28.72</v>
      </c>
      <c r="DF41" s="560">
        <v>28.4</v>
      </c>
      <c r="DG41" s="560">
        <v>29.015999999999998</v>
      </c>
      <c r="DH41" s="560">
        <v>29.084</v>
      </c>
      <c r="DI41" s="560">
        <v>28.744</v>
      </c>
      <c r="DJ41" s="560">
        <v>27.052</v>
      </c>
      <c r="DK41" s="560">
        <v>27.335999999999999</v>
      </c>
      <c r="DL41" s="560">
        <v>29.103999999999999</v>
      </c>
      <c r="DM41" s="560">
        <v>31.231999999999999</v>
      </c>
      <c r="DN41" s="560">
        <v>27.78</v>
      </c>
      <c r="DO41" s="560">
        <v>32.192</v>
      </c>
      <c r="DP41" s="560">
        <v>34.264000000000003</v>
      </c>
      <c r="DQ41" s="560">
        <v>34.124000000000002</v>
      </c>
      <c r="DR41" s="560">
        <v>35.572000000000003</v>
      </c>
      <c r="DS41" s="560">
        <v>36.04</v>
      </c>
      <c r="DT41" s="560">
        <v>35.728000000000002</v>
      </c>
      <c r="DU41" s="560">
        <v>39.26</v>
      </c>
      <c r="DV41" s="560">
        <v>40.316000000000003</v>
      </c>
      <c r="DW41" s="560">
        <v>43.008000000000003</v>
      </c>
      <c r="DX41" s="560">
        <v>42.667999999999999</v>
      </c>
      <c r="DY41" s="560">
        <v>43.008000000000003</v>
      </c>
      <c r="DZ41" s="560">
        <v>50.609000000000002</v>
      </c>
      <c r="EA41" s="560">
        <v>45.405000000000001</v>
      </c>
      <c r="EB41" s="560">
        <v>41.341999999999999</v>
      </c>
      <c r="EC41" s="560">
        <v>44.814</v>
      </c>
      <c r="ED41" s="560">
        <v>43.170999999999999</v>
      </c>
      <c r="EE41" s="560">
        <v>48.719000000000001</v>
      </c>
      <c r="EF41" s="560">
        <v>46.442999999999998</v>
      </c>
      <c r="EG41" s="560">
        <v>45.506999999999998</v>
      </c>
      <c r="EH41" s="560">
        <v>47.600999999999999</v>
      </c>
      <c r="EI41" s="560">
        <v>44.213000000000001</v>
      </c>
      <c r="EJ41" s="560">
        <v>50.412999999999997</v>
      </c>
      <c r="EK41" s="560">
        <v>44.947000000000003</v>
      </c>
      <c r="EL41" s="560">
        <v>49.942999999999998</v>
      </c>
      <c r="EM41" s="560">
        <v>51.171999999999997</v>
      </c>
      <c r="EN41" s="560">
        <v>47.383000000000003</v>
      </c>
      <c r="EO41" s="560">
        <v>49.225000000000001</v>
      </c>
      <c r="EP41" s="560">
        <v>53.557000000000002</v>
      </c>
      <c r="EQ41" s="560">
        <v>53.237000000000002</v>
      </c>
      <c r="ER41" s="560">
        <v>52.164999999999999</v>
      </c>
      <c r="ES41" s="560">
        <v>51.704000000000001</v>
      </c>
      <c r="ET41" s="560">
        <v>50.936999999999998</v>
      </c>
      <c r="EU41" s="560">
        <v>56.121000000000002</v>
      </c>
      <c r="EV41" s="560">
        <v>55.527999999999999</v>
      </c>
      <c r="EW41" s="560">
        <v>54.619</v>
      </c>
      <c r="EX41" s="560">
        <v>56.613</v>
      </c>
      <c r="EY41" s="560">
        <v>58.841999999999999</v>
      </c>
      <c r="EZ41" s="560">
        <v>56.868000000000002</v>
      </c>
      <c r="FA41" s="560">
        <v>58.177</v>
      </c>
      <c r="FB41" s="560">
        <v>58.334000000000003</v>
      </c>
      <c r="FC41" s="560">
        <v>59.643000000000001</v>
      </c>
      <c r="FD41" s="560">
        <v>67.126000000000005</v>
      </c>
      <c r="FE41" s="560">
        <v>68.543000000000006</v>
      </c>
      <c r="FF41" s="560">
        <v>64.721000000000004</v>
      </c>
      <c r="FG41" s="560">
        <v>73.736999999999995</v>
      </c>
      <c r="FH41" s="560">
        <v>74.820999999999998</v>
      </c>
      <c r="FI41" s="560">
        <v>75.022000000000006</v>
      </c>
      <c r="FJ41" s="560">
        <v>70.503</v>
      </c>
      <c r="FK41" s="560">
        <v>69.144999999999996</v>
      </c>
      <c r="FL41" s="560">
        <v>65.915999999999997</v>
      </c>
      <c r="FM41" s="560">
        <v>70.531000000000006</v>
      </c>
      <c r="FN41" s="560">
        <v>67.106999999999999</v>
      </c>
      <c r="FO41" s="560">
        <v>67.67</v>
      </c>
      <c r="FP41" s="560">
        <v>65.88</v>
      </c>
      <c r="FQ41" s="560">
        <v>65.507000000000005</v>
      </c>
      <c r="FR41" s="560">
        <v>67.563999999999993</v>
      </c>
      <c r="FS41" s="560">
        <v>63.978999999999999</v>
      </c>
      <c r="FT41" s="560">
        <v>68.013999999999996</v>
      </c>
      <c r="FU41" s="560">
        <v>65.742000000000004</v>
      </c>
      <c r="FV41" s="560">
        <v>65.275999999999996</v>
      </c>
      <c r="FW41" s="560">
        <v>67.164000000000001</v>
      </c>
      <c r="FX41" s="560">
        <v>68.84</v>
      </c>
      <c r="FY41" s="560">
        <v>61.402999999999999</v>
      </c>
      <c r="FZ41" s="560">
        <v>63.533999999999999</v>
      </c>
      <c r="GA41" s="560">
        <v>62.906999999999996</v>
      </c>
      <c r="GB41" s="560">
        <v>66.760000000000005</v>
      </c>
      <c r="GC41" s="560">
        <v>64.462000000000003</v>
      </c>
      <c r="GD41" s="560">
        <v>66.301000000000002</v>
      </c>
      <c r="GE41" s="560">
        <v>67.191000000000003</v>
      </c>
      <c r="GF41" s="560">
        <v>68.578000000000003</v>
      </c>
      <c r="GG41" s="560">
        <v>66.980999999999995</v>
      </c>
      <c r="GH41" s="560">
        <v>66.664000000000001</v>
      </c>
      <c r="GI41" s="560">
        <v>68.963999999999999</v>
      </c>
      <c r="GJ41" s="560">
        <v>64.058000000000007</v>
      </c>
      <c r="GK41" s="560">
        <v>64.983000000000004</v>
      </c>
      <c r="GL41" s="560">
        <v>64.022000000000006</v>
      </c>
      <c r="GM41" s="560">
        <v>65.007999999999996</v>
      </c>
      <c r="GN41" s="560">
        <v>69.409000000000006</v>
      </c>
      <c r="GO41" s="560">
        <v>64.796999999999997</v>
      </c>
      <c r="GP41" s="560">
        <v>66.022000000000006</v>
      </c>
      <c r="GQ41" s="560">
        <v>66.850999999999999</v>
      </c>
      <c r="GR41" s="560">
        <v>69.611000000000004</v>
      </c>
      <c r="GS41" s="560">
        <v>70.894000000000005</v>
      </c>
      <c r="GT41" s="560">
        <v>72.774000000000001</v>
      </c>
      <c r="GU41" s="560">
        <v>75.275000000000006</v>
      </c>
      <c r="GV41" s="560">
        <v>78.766999999999996</v>
      </c>
      <c r="GW41" s="560">
        <v>76.995000000000005</v>
      </c>
      <c r="GX41" s="560">
        <v>75.03</v>
      </c>
      <c r="GY41" s="560">
        <v>76.701999999999998</v>
      </c>
    </row>
    <row r="42" spans="1:207">
      <c r="A42" s="560" t="s">
        <v>238</v>
      </c>
      <c r="B42" s="560">
        <v>4.7</v>
      </c>
      <c r="C42" s="560">
        <v>4.8</v>
      </c>
      <c r="D42" s="560">
        <v>4.7</v>
      </c>
      <c r="E42" s="560">
        <v>4.8</v>
      </c>
      <c r="F42" s="560">
        <v>4.7</v>
      </c>
      <c r="G42" s="560">
        <v>4.8</v>
      </c>
      <c r="H42" s="560">
        <v>4.5</v>
      </c>
      <c r="I42" s="560">
        <v>4.5999999999999996</v>
      </c>
      <c r="J42" s="560">
        <v>6.1</v>
      </c>
      <c r="K42" s="560">
        <v>6.2</v>
      </c>
      <c r="L42" s="560">
        <v>7.1</v>
      </c>
      <c r="M42" s="560">
        <v>7</v>
      </c>
      <c r="N42" s="560">
        <v>5.9</v>
      </c>
      <c r="O42" s="560">
        <v>5.6</v>
      </c>
      <c r="P42" s="560">
        <v>4.5999999999999996</v>
      </c>
      <c r="Q42" s="560">
        <v>4.5</v>
      </c>
      <c r="R42" s="560">
        <v>3.5</v>
      </c>
      <c r="S42" s="560">
        <v>2.8</v>
      </c>
      <c r="T42" s="560">
        <v>3.1</v>
      </c>
      <c r="U42" s="560">
        <v>3.5</v>
      </c>
      <c r="V42" s="560">
        <v>4.0999999999999996</v>
      </c>
      <c r="W42" s="560">
        <v>4.0999999999999996</v>
      </c>
      <c r="X42" s="560">
        <v>4.4000000000000004</v>
      </c>
      <c r="Y42" s="560">
        <v>4.8</v>
      </c>
      <c r="Z42" s="560">
        <v>5</v>
      </c>
      <c r="AA42" s="560">
        <v>4.7</v>
      </c>
      <c r="AB42" s="560">
        <v>4.9000000000000004</v>
      </c>
      <c r="AC42" s="560">
        <v>5.3</v>
      </c>
      <c r="AD42" s="560">
        <v>5.6</v>
      </c>
      <c r="AE42" s="560">
        <v>5.7</v>
      </c>
      <c r="AF42" s="560">
        <v>6.2</v>
      </c>
      <c r="AG42" s="560">
        <v>10.1</v>
      </c>
      <c r="AH42" s="560">
        <v>8.5</v>
      </c>
      <c r="AI42" s="560">
        <v>8.1</v>
      </c>
      <c r="AJ42" s="560">
        <v>8</v>
      </c>
      <c r="AK42" s="560">
        <v>10.1</v>
      </c>
      <c r="AL42" s="560">
        <v>8.1</v>
      </c>
      <c r="AM42" s="560">
        <v>8.5</v>
      </c>
      <c r="AN42" s="560">
        <v>7.8</v>
      </c>
      <c r="AO42" s="560">
        <v>8.5</v>
      </c>
      <c r="AP42" s="560">
        <v>8.9</v>
      </c>
      <c r="AQ42" s="560">
        <v>9.3000000000000007</v>
      </c>
      <c r="AR42" s="560">
        <v>9.6999999999999993</v>
      </c>
      <c r="AS42" s="560">
        <v>9.9</v>
      </c>
      <c r="AT42" s="560">
        <v>10.199999999999999</v>
      </c>
      <c r="AU42" s="560">
        <v>10.3</v>
      </c>
      <c r="AV42" s="560">
        <v>10.7</v>
      </c>
      <c r="AW42" s="560">
        <v>13.1</v>
      </c>
      <c r="AX42" s="560">
        <v>13.6</v>
      </c>
      <c r="AY42" s="560">
        <v>13.2</v>
      </c>
      <c r="AZ42" s="560">
        <v>12.6</v>
      </c>
      <c r="BA42" s="560">
        <v>19</v>
      </c>
      <c r="BB42" s="560">
        <v>19.399999999999999</v>
      </c>
      <c r="BC42" s="560">
        <v>21.1</v>
      </c>
      <c r="BD42" s="560">
        <v>21.8</v>
      </c>
      <c r="BE42" s="560">
        <v>21.1</v>
      </c>
      <c r="BF42" s="560">
        <v>20.8</v>
      </c>
      <c r="BG42" s="560">
        <v>20.6</v>
      </c>
      <c r="BH42" s="560">
        <v>20.5</v>
      </c>
      <c r="BI42" s="560">
        <v>20.8</v>
      </c>
      <c r="BJ42" s="560">
        <v>20.8</v>
      </c>
      <c r="BK42" s="560">
        <v>20.7</v>
      </c>
      <c r="BL42" s="560">
        <v>21</v>
      </c>
      <c r="BM42" s="560">
        <v>21.7</v>
      </c>
      <c r="BN42" s="560">
        <v>22.8</v>
      </c>
      <c r="BO42" s="560">
        <v>23.9</v>
      </c>
      <c r="BP42" s="560">
        <v>25.1</v>
      </c>
      <c r="BQ42" s="560">
        <v>26.5</v>
      </c>
      <c r="BR42" s="560">
        <v>28</v>
      </c>
      <c r="BS42" s="560">
        <v>30.2</v>
      </c>
      <c r="BT42" s="560">
        <v>31</v>
      </c>
      <c r="BU42" s="560">
        <v>30.8</v>
      </c>
      <c r="BV42" s="560">
        <v>30</v>
      </c>
      <c r="BW42" s="560">
        <v>29.5</v>
      </c>
      <c r="BX42" s="560">
        <v>28.9</v>
      </c>
      <c r="BY42" s="560">
        <v>28.2</v>
      </c>
      <c r="BZ42" s="560">
        <v>27.6</v>
      </c>
      <c r="CA42" s="560">
        <v>27</v>
      </c>
      <c r="CB42" s="560">
        <v>26.7</v>
      </c>
      <c r="CC42" s="560">
        <v>26.9</v>
      </c>
      <c r="CD42" s="560">
        <v>26.8</v>
      </c>
      <c r="CE42" s="560">
        <v>26.6</v>
      </c>
      <c r="CF42" s="560">
        <v>26.6</v>
      </c>
      <c r="CG42" s="560">
        <v>26.6</v>
      </c>
      <c r="CH42" s="560">
        <v>26.7</v>
      </c>
      <c r="CI42" s="560">
        <v>26.8</v>
      </c>
      <c r="CJ42" s="560">
        <v>27.1</v>
      </c>
      <c r="CK42" s="560">
        <v>27.7</v>
      </c>
      <c r="CL42" s="560">
        <v>28.2</v>
      </c>
      <c r="CM42" s="560">
        <v>28.8</v>
      </c>
      <c r="CN42" s="560">
        <v>30</v>
      </c>
      <c r="CO42" s="560">
        <v>31.8</v>
      </c>
      <c r="CP42" s="560">
        <v>35.1</v>
      </c>
      <c r="CQ42" s="560">
        <v>37.200000000000003</v>
      </c>
      <c r="CR42" s="560">
        <v>37.299999999999997</v>
      </c>
      <c r="CS42" s="560">
        <v>35.700000000000003</v>
      </c>
      <c r="CT42" s="560">
        <v>33.200000000000003</v>
      </c>
      <c r="CU42" s="560">
        <v>32</v>
      </c>
      <c r="CV42" s="560">
        <v>31.6</v>
      </c>
      <c r="CW42" s="560">
        <v>31.9</v>
      </c>
      <c r="CX42" s="560">
        <v>33.6</v>
      </c>
      <c r="CY42" s="560">
        <v>34.299999999999997</v>
      </c>
      <c r="CZ42" s="560">
        <v>34.799999999999997</v>
      </c>
      <c r="DA42" s="560">
        <v>35.200000000000003</v>
      </c>
      <c r="DB42" s="560">
        <v>35.200000000000003</v>
      </c>
      <c r="DC42" s="560">
        <v>35.1</v>
      </c>
      <c r="DD42" s="560">
        <v>34.9</v>
      </c>
      <c r="DE42" s="560">
        <v>34.4</v>
      </c>
      <c r="DF42" s="560">
        <v>34</v>
      </c>
      <c r="DG42" s="560">
        <v>33.200000000000003</v>
      </c>
      <c r="DH42" s="560">
        <v>33</v>
      </c>
      <c r="DI42" s="560">
        <v>33.299999999999997</v>
      </c>
      <c r="DJ42" s="560">
        <v>33.4</v>
      </c>
      <c r="DK42" s="560">
        <v>34.6</v>
      </c>
      <c r="DL42" s="560">
        <v>36.299999999999997</v>
      </c>
      <c r="DM42" s="560">
        <v>39.4</v>
      </c>
      <c r="DN42" s="560">
        <v>42</v>
      </c>
      <c r="DO42" s="560">
        <v>44.6</v>
      </c>
      <c r="DP42" s="560">
        <v>46</v>
      </c>
      <c r="DQ42" s="560">
        <v>46.5</v>
      </c>
      <c r="DR42" s="560">
        <v>44.6</v>
      </c>
      <c r="DS42" s="560">
        <v>45</v>
      </c>
      <c r="DT42" s="560">
        <v>45.3</v>
      </c>
      <c r="DU42" s="560">
        <v>46.4</v>
      </c>
      <c r="DV42" s="560">
        <v>47.2</v>
      </c>
      <c r="DW42" s="560">
        <v>47.6</v>
      </c>
      <c r="DX42" s="560">
        <v>66.3</v>
      </c>
      <c r="DY42" s="560">
        <v>43.1</v>
      </c>
      <c r="DZ42" s="560">
        <v>40.700000000000003</v>
      </c>
      <c r="EA42" s="560">
        <v>39.200000000000003</v>
      </c>
      <c r="EB42" s="560">
        <v>39.700000000000003</v>
      </c>
      <c r="EC42" s="560">
        <v>42.3</v>
      </c>
      <c r="ED42" s="560">
        <v>47</v>
      </c>
      <c r="EE42" s="560">
        <v>56.8</v>
      </c>
      <c r="EF42" s="560">
        <v>46.9</v>
      </c>
      <c r="EG42" s="560">
        <v>45.1</v>
      </c>
      <c r="EH42" s="560">
        <v>43.9</v>
      </c>
      <c r="EI42" s="560">
        <v>43.3</v>
      </c>
      <c r="EJ42" s="560">
        <v>45</v>
      </c>
      <c r="EK42" s="560">
        <v>51.9</v>
      </c>
      <c r="EL42" s="560">
        <v>56.4</v>
      </c>
      <c r="EM42" s="560">
        <v>60.3</v>
      </c>
      <c r="EN42" s="560">
        <v>61.6</v>
      </c>
      <c r="EO42" s="560">
        <v>63.9</v>
      </c>
      <c r="EP42" s="560">
        <v>55.4</v>
      </c>
      <c r="EQ42" s="560">
        <v>51.2</v>
      </c>
      <c r="ER42" s="560">
        <v>49.5</v>
      </c>
      <c r="ES42" s="560">
        <v>48.3</v>
      </c>
      <c r="ET42" s="560">
        <v>47.6</v>
      </c>
      <c r="EU42" s="560">
        <v>47.5</v>
      </c>
      <c r="EV42" s="560">
        <v>47.2</v>
      </c>
      <c r="EW42" s="560">
        <v>47.5</v>
      </c>
      <c r="EX42" s="560">
        <v>48</v>
      </c>
      <c r="EY42" s="560">
        <v>48.7</v>
      </c>
      <c r="EZ42" s="560">
        <v>49.8</v>
      </c>
      <c r="FA42" s="560">
        <v>51.8</v>
      </c>
      <c r="FB42" s="560">
        <v>53.4</v>
      </c>
      <c r="FC42" s="560">
        <v>54.3</v>
      </c>
      <c r="FD42" s="560">
        <v>65.900000000000006</v>
      </c>
      <c r="FE42" s="560">
        <v>54.3</v>
      </c>
      <c r="FF42" s="560">
        <v>53.2</v>
      </c>
      <c r="FG42" s="560">
        <v>53.4</v>
      </c>
      <c r="FH42" s="560">
        <v>54.4</v>
      </c>
      <c r="FI42" s="560">
        <v>56</v>
      </c>
      <c r="FJ42" s="560">
        <v>58</v>
      </c>
      <c r="FK42" s="560">
        <v>59.5</v>
      </c>
      <c r="FL42" s="560">
        <v>59.7</v>
      </c>
      <c r="FM42" s="560">
        <v>60.6</v>
      </c>
      <c r="FN42" s="560">
        <v>57.9</v>
      </c>
      <c r="FO42" s="560">
        <v>57.6</v>
      </c>
      <c r="FP42" s="560">
        <v>55.8</v>
      </c>
      <c r="FQ42" s="560">
        <v>58.9</v>
      </c>
      <c r="FR42" s="560">
        <v>58.9</v>
      </c>
      <c r="FS42" s="560">
        <v>59.6</v>
      </c>
      <c r="FT42" s="560">
        <v>59.5</v>
      </c>
      <c r="FU42" s="560">
        <v>58.9</v>
      </c>
      <c r="FV42" s="560">
        <v>58.2</v>
      </c>
      <c r="FW42" s="560">
        <v>58</v>
      </c>
      <c r="FX42" s="560">
        <v>57.7</v>
      </c>
      <c r="FY42" s="560">
        <v>56.5</v>
      </c>
      <c r="FZ42" s="560">
        <v>55.5</v>
      </c>
      <c r="GA42" s="560">
        <v>55.9</v>
      </c>
      <c r="GB42" s="560">
        <v>57.2</v>
      </c>
      <c r="GC42" s="560">
        <v>58.1</v>
      </c>
      <c r="GD42" s="560">
        <v>60.2</v>
      </c>
      <c r="GE42" s="560">
        <v>61.8</v>
      </c>
      <c r="GF42" s="560">
        <v>62.5</v>
      </c>
      <c r="GG42" s="560">
        <v>60.4</v>
      </c>
      <c r="GH42" s="560">
        <v>58.8</v>
      </c>
      <c r="GI42" s="560">
        <v>57.5</v>
      </c>
      <c r="GJ42" s="560">
        <v>61.4</v>
      </c>
      <c r="GK42" s="560">
        <v>59.6</v>
      </c>
      <c r="GL42" s="560">
        <v>58.1</v>
      </c>
      <c r="GM42" s="560">
        <v>57.7</v>
      </c>
      <c r="GN42" s="560">
        <v>57.3</v>
      </c>
      <c r="GO42" s="560">
        <v>77.900000000000006</v>
      </c>
      <c r="GP42" s="560">
        <v>68.400000000000006</v>
      </c>
      <c r="GQ42" s="560">
        <v>58.2</v>
      </c>
      <c r="GR42" s="560">
        <v>80.599999999999994</v>
      </c>
      <c r="GS42" s="560">
        <v>82.2</v>
      </c>
      <c r="GT42" s="560">
        <v>80.3</v>
      </c>
      <c r="GU42" s="560">
        <v>1123.5999999999999</v>
      </c>
      <c r="GV42" s="560">
        <v>1220.5</v>
      </c>
      <c r="GW42" s="560">
        <v>618.6</v>
      </c>
      <c r="GX42" s="560">
        <v>403.8</v>
      </c>
      <c r="GY42" s="560">
        <v>683.6</v>
      </c>
    </row>
    <row r="43" spans="1:207">
      <c r="A43" s="560" t="s">
        <v>239</v>
      </c>
      <c r="B43" s="560">
        <v>0</v>
      </c>
      <c r="C43" s="560">
        <v>0</v>
      </c>
      <c r="D43" s="560">
        <v>0</v>
      </c>
      <c r="E43" s="560">
        <v>0</v>
      </c>
      <c r="F43" s="560">
        <v>0</v>
      </c>
      <c r="G43" s="560">
        <v>0</v>
      </c>
      <c r="H43" s="560">
        <v>0</v>
      </c>
      <c r="I43" s="560">
        <v>0</v>
      </c>
      <c r="J43" s="560">
        <v>0</v>
      </c>
      <c r="K43" s="560">
        <v>0.1</v>
      </c>
      <c r="L43" s="560">
        <v>0.1</v>
      </c>
      <c r="M43" s="560">
        <v>0.1</v>
      </c>
      <c r="N43" s="560">
        <v>0.1</v>
      </c>
      <c r="O43" s="560">
        <v>0.1</v>
      </c>
      <c r="P43" s="560">
        <v>0.1</v>
      </c>
      <c r="Q43" s="560">
        <v>0.1</v>
      </c>
      <c r="R43" s="560">
        <v>0.1</v>
      </c>
      <c r="S43" s="560">
        <v>0.1</v>
      </c>
      <c r="T43" s="560">
        <v>0.1</v>
      </c>
      <c r="U43" s="560">
        <v>0.1</v>
      </c>
      <c r="V43" s="560">
        <v>0.1</v>
      </c>
      <c r="W43" s="560">
        <v>0.2</v>
      </c>
      <c r="X43" s="560">
        <v>0.2</v>
      </c>
      <c r="Y43" s="560">
        <v>0.2</v>
      </c>
      <c r="Z43" s="560">
        <v>0.2</v>
      </c>
      <c r="AA43" s="560">
        <v>0.2</v>
      </c>
      <c r="AB43" s="560">
        <v>0.2</v>
      </c>
      <c r="AC43" s="560">
        <v>0.2</v>
      </c>
      <c r="AD43" s="560">
        <v>0.2</v>
      </c>
      <c r="AE43" s="560">
        <v>0.2</v>
      </c>
      <c r="AF43" s="560">
        <v>0.2</v>
      </c>
      <c r="AG43" s="560">
        <v>0.2</v>
      </c>
      <c r="AH43" s="560">
        <v>0.2</v>
      </c>
      <c r="AI43" s="560">
        <v>0.2</v>
      </c>
      <c r="AJ43" s="560">
        <v>0.2</v>
      </c>
      <c r="AK43" s="560">
        <v>0.3</v>
      </c>
      <c r="AL43" s="560">
        <v>0.3</v>
      </c>
      <c r="AM43" s="560">
        <v>0.3</v>
      </c>
      <c r="AN43" s="560">
        <v>0.3</v>
      </c>
      <c r="AO43" s="560">
        <v>0.3</v>
      </c>
      <c r="AP43" s="560">
        <v>0.3</v>
      </c>
      <c r="AQ43" s="560">
        <v>0.3</v>
      </c>
      <c r="AR43" s="560">
        <v>0.4</v>
      </c>
      <c r="AS43" s="560">
        <v>0.4</v>
      </c>
      <c r="AT43" s="560">
        <v>0.4</v>
      </c>
      <c r="AU43" s="560">
        <v>0.4</v>
      </c>
      <c r="AV43" s="560">
        <v>0.4</v>
      </c>
      <c r="AW43" s="560">
        <v>0.4</v>
      </c>
      <c r="AX43" s="560">
        <v>0.4</v>
      </c>
      <c r="AY43" s="560">
        <v>0.5</v>
      </c>
      <c r="AZ43" s="560">
        <v>0.5</v>
      </c>
      <c r="BA43" s="560">
        <v>0.5</v>
      </c>
      <c r="BB43" s="560">
        <v>0.5</v>
      </c>
      <c r="BC43" s="560">
        <v>0.4</v>
      </c>
      <c r="BD43" s="560">
        <v>0.4</v>
      </c>
      <c r="BE43" s="560">
        <v>0.4</v>
      </c>
      <c r="BF43" s="560">
        <v>0.4</v>
      </c>
      <c r="BG43" s="560">
        <v>0.4</v>
      </c>
      <c r="BH43" s="560">
        <v>0.4</v>
      </c>
      <c r="BI43" s="560">
        <v>0.4</v>
      </c>
      <c r="BJ43" s="560">
        <v>0.3</v>
      </c>
      <c r="BK43" s="560">
        <v>0.3</v>
      </c>
      <c r="BL43" s="560">
        <v>0.3</v>
      </c>
      <c r="BM43" s="560">
        <v>0.3</v>
      </c>
      <c r="BN43" s="560">
        <v>0.3</v>
      </c>
      <c r="BO43" s="560">
        <v>0.3</v>
      </c>
      <c r="BP43" s="560">
        <v>0.3</v>
      </c>
      <c r="BQ43" s="560">
        <v>0.3</v>
      </c>
      <c r="BR43" s="560">
        <v>0.3</v>
      </c>
      <c r="BS43" s="560">
        <v>0.3</v>
      </c>
      <c r="BT43" s="560">
        <v>0.3</v>
      </c>
      <c r="BU43" s="560">
        <v>0.3</v>
      </c>
      <c r="BV43" s="560">
        <v>0.3</v>
      </c>
      <c r="BW43" s="560">
        <v>0.3</v>
      </c>
      <c r="BX43" s="560">
        <v>0.4</v>
      </c>
      <c r="BY43" s="560">
        <v>0.4</v>
      </c>
      <c r="BZ43" s="560">
        <v>0.4</v>
      </c>
      <c r="CA43" s="560">
        <v>0.4</v>
      </c>
      <c r="CB43" s="560">
        <v>0.4</v>
      </c>
      <c r="CC43" s="560">
        <v>0.4</v>
      </c>
      <c r="CD43" s="560">
        <v>0.4</v>
      </c>
      <c r="CE43" s="560">
        <v>0.4</v>
      </c>
      <c r="CF43" s="560">
        <v>0.4</v>
      </c>
      <c r="CG43" s="560">
        <v>0.4</v>
      </c>
      <c r="CH43" s="560">
        <v>0.4</v>
      </c>
      <c r="CI43" s="560">
        <v>0.4</v>
      </c>
      <c r="CJ43" s="560">
        <v>0.4</v>
      </c>
      <c r="CK43" s="560">
        <v>0.4</v>
      </c>
      <c r="CL43" s="560">
        <v>0.4</v>
      </c>
      <c r="CM43" s="560">
        <v>0.4</v>
      </c>
      <c r="CN43" s="560">
        <v>0.4</v>
      </c>
      <c r="CO43" s="560">
        <v>0.4</v>
      </c>
      <c r="CP43" s="560">
        <v>0.4</v>
      </c>
      <c r="CQ43" s="560">
        <v>0.4</v>
      </c>
      <c r="CR43" s="560">
        <v>0.4</v>
      </c>
      <c r="CS43" s="560">
        <v>0.4</v>
      </c>
      <c r="CT43" s="560">
        <v>0.4</v>
      </c>
      <c r="CU43" s="560">
        <v>0.3</v>
      </c>
      <c r="CV43" s="560">
        <v>0.3</v>
      </c>
      <c r="CW43" s="560">
        <v>0.3</v>
      </c>
      <c r="CX43" s="560">
        <v>0.3</v>
      </c>
      <c r="CY43" s="560">
        <v>0.3</v>
      </c>
      <c r="CZ43" s="560">
        <v>0.3</v>
      </c>
      <c r="DA43" s="560">
        <v>0.3</v>
      </c>
      <c r="DB43" s="560">
        <v>0.3</v>
      </c>
      <c r="DC43" s="560">
        <v>0.3</v>
      </c>
      <c r="DD43" s="560">
        <v>0.3</v>
      </c>
      <c r="DE43" s="560">
        <v>0.4</v>
      </c>
      <c r="DF43" s="560">
        <v>0.4</v>
      </c>
      <c r="DG43" s="560">
        <v>0.4</v>
      </c>
      <c r="DH43" s="560">
        <v>0.4</v>
      </c>
      <c r="DI43" s="560">
        <v>0.5</v>
      </c>
      <c r="DJ43" s="560">
        <v>0.5</v>
      </c>
      <c r="DK43" s="560">
        <v>0.5</v>
      </c>
      <c r="DL43" s="560">
        <v>0.4</v>
      </c>
      <c r="DM43" s="560">
        <v>0.4</v>
      </c>
      <c r="DN43" s="560">
        <v>0.4</v>
      </c>
      <c r="DO43" s="560">
        <v>0.4</v>
      </c>
      <c r="DP43" s="560">
        <v>0.4</v>
      </c>
      <c r="DQ43" s="560">
        <v>0.4</v>
      </c>
      <c r="DR43" s="560">
        <v>0.5</v>
      </c>
      <c r="DS43" s="560">
        <v>0.5</v>
      </c>
      <c r="DT43" s="560">
        <v>0.6</v>
      </c>
      <c r="DU43" s="560">
        <v>0.6</v>
      </c>
      <c r="DV43" s="560">
        <v>8</v>
      </c>
      <c r="DW43" s="560">
        <v>14.4</v>
      </c>
      <c r="DX43" s="560">
        <v>4.8</v>
      </c>
      <c r="DY43" s="560">
        <v>3.4</v>
      </c>
      <c r="DZ43" s="560">
        <v>1.8</v>
      </c>
      <c r="EA43" s="560">
        <v>0.6</v>
      </c>
      <c r="EB43" s="560">
        <v>1.7</v>
      </c>
      <c r="EC43" s="560">
        <v>-0.4</v>
      </c>
      <c r="ED43" s="560">
        <v>0.1</v>
      </c>
      <c r="EE43" s="560">
        <v>0.3</v>
      </c>
      <c r="EF43" s="560">
        <v>-1</v>
      </c>
      <c r="EG43" s="560">
        <v>0.9</v>
      </c>
      <c r="EH43" s="560">
        <v>0.4</v>
      </c>
      <c r="EI43" s="560">
        <v>0.4</v>
      </c>
      <c r="EJ43" s="560">
        <v>0.4</v>
      </c>
      <c r="EK43" s="560">
        <v>0.4</v>
      </c>
      <c r="EL43" s="560">
        <v>0.4</v>
      </c>
      <c r="EM43" s="560">
        <v>0.4</v>
      </c>
      <c r="EN43" s="560">
        <v>0.4</v>
      </c>
      <c r="EO43" s="560">
        <v>0.4</v>
      </c>
      <c r="EP43" s="560">
        <v>0.4</v>
      </c>
      <c r="EQ43" s="560">
        <v>0.4</v>
      </c>
      <c r="ER43" s="560">
        <v>0.4</v>
      </c>
      <c r="ES43" s="560">
        <v>0.4</v>
      </c>
      <c r="ET43" s="560">
        <v>1.9</v>
      </c>
      <c r="EU43" s="560">
        <v>10.7</v>
      </c>
      <c r="EV43" s="560">
        <v>8.8000000000000007</v>
      </c>
      <c r="EW43" s="560">
        <v>7.2</v>
      </c>
      <c r="EX43" s="560">
        <v>4</v>
      </c>
      <c r="EY43" s="560">
        <v>2.9</v>
      </c>
      <c r="EZ43" s="560">
        <v>2.2000000000000002</v>
      </c>
      <c r="FA43" s="560">
        <v>2.8</v>
      </c>
      <c r="FB43" s="560">
        <v>2</v>
      </c>
      <c r="FC43" s="560">
        <v>1.2</v>
      </c>
      <c r="FD43" s="560">
        <v>1.2</v>
      </c>
      <c r="FE43" s="560">
        <v>1.2</v>
      </c>
      <c r="FF43" s="560">
        <v>1.6</v>
      </c>
      <c r="FG43" s="560">
        <v>2.1</v>
      </c>
      <c r="FH43" s="560">
        <v>1.6</v>
      </c>
      <c r="FI43" s="560">
        <v>1</v>
      </c>
      <c r="FJ43" s="560">
        <v>0.9</v>
      </c>
      <c r="FK43" s="560">
        <v>0.4</v>
      </c>
      <c r="FL43" s="560">
        <v>0.4</v>
      </c>
      <c r="FM43" s="560">
        <v>0.4</v>
      </c>
      <c r="FN43" s="560">
        <v>0.5</v>
      </c>
      <c r="FO43" s="560">
        <v>0.5</v>
      </c>
      <c r="FP43" s="560">
        <v>0.5</v>
      </c>
      <c r="FQ43" s="560">
        <v>0.5</v>
      </c>
      <c r="FR43" s="560">
        <v>0.5</v>
      </c>
      <c r="FS43" s="560">
        <v>0.5</v>
      </c>
      <c r="FT43" s="560">
        <v>0.5</v>
      </c>
      <c r="FU43" s="560">
        <v>0.5</v>
      </c>
      <c r="FV43" s="560">
        <v>0.5</v>
      </c>
      <c r="FW43" s="560">
        <v>0.5</v>
      </c>
      <c r="FX43" s="560">
        <v>0.5</v>
      </c>
      <c r="FY43" s="560">
        <v>0.5</v>
      </c>
      <c r="FZ43" s="560">
        <v>0.5</v>
      </c>
      <c r="GA43" s="560">
        <v>0.5</v>
      </c>
      <c r="GB43" s="560">
        <v>0.5</v>
      </c>
      <c r="GC43" s="560">
        <v>0.5</v>
      </c>
      <c r="GD43" s="560">
        <v>0.5</v>
      </c>
      <c r="GE43" s="560">
        <v>0.5</v>
      </c>
      <c r="GF43" s="560">
        <v>0.5</v>
      </c>
      <c r="GG43" s="560">
        <v>0.5</v>
      </c>
      <c r="GH43" s="560">
        <v>0.5</v>
      </c>
      <c r="GI43" s="560">
        <v>0.6</v>
      </c>
      <c r="GJ43" s="560">
        <v>0.6</v>
      </c>
      <c r="GK43" s="560">
        <v>0.6</v>
      </c>
      <c r="GL43" s="560">
        <v>0.6</v>
      </c>
      <c r="GM43" s="560">
        <v>0.6</v>
      </c>
      <c r="GN43" s="560">
        <v>0.6</v>
      </c>
      <c r="GO43" s="560">
        <v>0.6</v>
      </c>
      <c r="GP43" s="560">
        <v>0.6</v>
      </c>
      <c r="GQ43" s="560">
        <v>0.6</v>
      </c>
      <c r="GR43" s="560">
        <v>0.6</v>
      </c>
      <c r="GS43" s="560">
        <v>0.6</v>
      </c>
      <c r="GT43" s="560">
        <v>0.6</v>
      </c>
      <c r="GU43" s="560">
        <v>0.6</v>
      </c>
      <c r="GV43" s="560">
        <v>0.6</v>
      </c>
      <c r="GW43" s="560">
        <v>0.6</v>
      </c>
      <c r="GX43" s="560">
        <v>2.5</v>
      </c>
      <c r="GY43" s="560">
        <v>8.6</v>
      </c>
    </row>
    <row r="44" spans="1:207">
      <c r="A44" s="560" t="s">
        <v>240</v>
      </c>
      <c r="B44" s="560">
        <v>4.7</v>
      </c>
      <c r="C44" s="560">
        <v>4.8</v>
      </c>
      <c r="D44" s="560">
        <v>4.7</v>
      </c>
      <c r="E44" s="560">
        <v>4.8</v>
      </c>
      <c r="F44" s="560">
        <v>4.8</v>
      </c>
      <c r="G44" s="560">
        <v>4.8</v>
      </c>
      <c r="H44" s="560">
        <v>4.5</v>
      </c>
      <c r="I44" s="560">
        <v>4.5999999999999996</v>
      </c>
      <c r="J44" s="560">
        <v>6.1</v>
      </c>
      <c r="K44" s="560">
        <v>6.2</v>
      </c>
      <c r="L44" s="560">
        <v>7.2</v>
      </c>
      <c r="M44" s="560">
        <v>7.1</v>
      </c>
      <c r="N44" s="560">
        <v>5.9</v>
      </c>
      <c r="O44" s="560">
        <v>5.7</v>
      </c>
      <c r="P44" s="560">
        <v>4.7</v>
      </c>
      <c r="Q44" s="560">
        <v>4.5999999999999996</v>
      </c>
      <c r="R44" s="560">
        <v>3.6</v>
      </c>
      <c r="S44" s="560">
        <v>2.9</v>
      </c>
      <c r="T44" s="560">
        <v>3.2</v>
      </c>
      <c r="U44" s="560">
        <v>3.6</v>
      </c>
      <c r="V44" s="560">
        <v>4.2</v>
      </c>
      <c r="W44" s="560">
        <v>4.3</v>
      </c>
      <c r="X44" s="560">
        <v>4.5999999999999996</v>
      </c>
      <c r="Y44" s="560">
        <v>4.9000000000000004</v>
      </c>
      <c r="Z44" s="560">
        <v>5.0999999999999996</v>
      </c>
      <c r="AA44" s="560">
        <v>4.8</v>
      </c>
      <c r="AB44" s="560">
        <v>5.0999999999999996</v>
      </c>
      <c r="AC44" s="560">
        <v>5.5</v>
      </c>
      <c r="AD44" s="560">
        <v>5.8</v>
      </c>
      <c r="AE44" s="560">
        <v>5.9</v>
      </c>
      <c r="AF44" s="560">
        <v>6.4</v>
      </c>
      <c r="AG44" s="560">
        <v>10.3</v>
      </c>
      <c r="AH44" s="560">
        <v>8.6999999999999993</v>
      </c>
      <c r="AI44" s="560">
        <v>8.4</v>
      </c>
      <c r="AJ44" s="560">
        <v>8.3000000000000007</v>
      </c>
      <c r="AK44" s="560">
        <v>10.4</v>
      </c>
      <c r="AL44" s="560">
        <v>8.4</v>
      </c>
      <c r="AM44" s="560">
        <v>8.8000000000000007</v>
      </c>
      <c r="AN44" s="560">
        <v>8.1</v>
      </c>
      <c r="AO44" s="560">
        <v>8.9</v>
      </c>
      <c r="AP44" s="560">
        <v>9.1999999999999993</v>
      </c>
      <c r="AQ44" s="560">
        <v>9.6</v>
      </c>
      <c r="AR44" s="560">
        <v>10.1</v>
      </c>
      <c r="AS44" s="560">
        <v>10.3</v>
      </c>
      <c r="AT44" s="560">
        <v>10.6</v>
      </c>
      <c r="AU44" s="560">
        <v>10.7</v>
      </c>
      <c r="AV44" s="560">
        <v>11.1</v>
      </c>
      <c r="AW44" s="560">
        <v>13.5</v>
      </c>
      <c r="AX44" s="560">
        <v>14</v>
      </c>
      <c r="AY44" s="560">
        <v>13.6</v>
      </c>
      <c r="AZ44" s="560">
        <v>13</v>
      </c>
      <c r="BA44" s="560">
        <v>19.399999999999999</v>
      </c>
      <c r="BB44" s="560">
        <v>19.899999999999999</v>
      </c>
      <c r="BC44" s="560">
        <v>21.6</v>
      </c>
      <c r="BD44" s="560">
        <v>22.2</v>
      </c>
      <c r="BE44" s="560">
        <v>21.5</v>
      </c>
      <c r="BF44" s="560">
        <v>21.2</v>
      </c>
      <c r="BG44" s="560">
        <v>21</v>
      </c>
      <c r="BH44" s="560">
        <v>20.9</v>
      </c>
      <c r="BI44" s="560">
        <v>21.2</v>
      </c>
      <c r="BJ44" s="560">
        <v>21.1</v>
      </c>
      <c r="BK44" s="560">
        <v>21</v>
      </c>
      <c r="BL44" s="560">
        <v>21.3</v>
      </c>
      <c r="BM44" s="560">
        <v>22</v>
      </c>
      <c r="BN44" s="560">
        <v>23.1</v>
      </c>
      <c r="BO44" s="560">
        <v>24.2</v>
      </c>
      <c r="BP44" s="560">
        <v>25.5</v>
      </c>
      <c r="BQ44" s="560">
        <v>26.8</v>
      </c>
      <c r="BR44" s="560">
        <v>28.3</v>
      </c>
      <c r="BS44" s="560">
        <v>30.4</v>
      </c>
      <c r="BT44" s="560">
        <v>31.3</v>
      </c>
      <c r="BU44" s="560">
        <v>31.1</v>
      </c>
      <c r="BV44" s="560">
        <v>30.4</v>
      </c>
      <c r="BW44" s="560">
        <v>29.8</v>
      </c>
      <c r="BX44" s="560">
        <v>29.2</v>
      </c>
      <c r="BY44" s="560">
        <v>28.6</v>
      </c>
      <c r="BZ44" s="560">
        <v>28</v>
      </c>
      <c r="CA44" s="560">
        <v>27.4</v>
      </c>
      <c r="CB44" s="560">
        <v>27.1</v>
      </c>
      <c r="CC44" s="560">
        <v>27.3</v>
      </c>
      <c r="CD44" s="560">
        <v>27.1</v>
      </c>
      <c r="CE44" s="560">
        <v>27</v>
      </c>
      <c r="CF44" s="560">
        <v>26.9</v>
      </c>
      <c r="CG44" s="560">
        <v>27</v>
      </c>
      <c r="CH44" s="560">
        <v>27.1</v>
      </c>
      <c r="CI44" s="560">
        <v>27.2</v>
      </c>
      <c r="CJ44" s="560">
        <v>27.5</v>
      </c>
      <c r="CK44" s="560">
        <v>28.1</v>
      </c>
      <c r="CL44" s="560">
        <v>28.6</v>
      </c>
      <c r="CM44" s="560">
        <v>29.2</v>
      </c>
      <c r="CN44" s="560">
        <v>30.4</v>
      </c>
      <c r="CO44" s="560">
        <v>32.200000000000003</v>
      </c>
      <c r="CP44" s="560">
        <v>35.5</v>
      </c>
      <c r="CQ44" s="560">
        <v>37.6</v>
      </c>
      <c r="CR44" s="560">
        <v>37.700000000000003</v>
      </c>
      <c r="CS44" s="560">
        <v>36</v>
      </c>
      <c r="CT44" s="560">
        <v>33.6</v>
      </c>
      <c r="CU44" s="560">
        <v>32.4</v>
      </c>
      <c r="CV44" s="560">
        <v>31.9</v>
      </c>
      <c r="CW44" s="560">
        <v>32.200000000000003</v>
      </c>
      <c r="CX44" s="560">
        <v>34</v>
      </c>
      <c r="CY44" s="560">
        <v>34.6</v>
      </c>
      <c r="CZ44" s="560">
        <v>35.1</v>
      </c>
      <c r="DA44" s="560">
        <v>35.5</v>
      </c>
      <c r="DB44" s="560">
        <v>35.5</v>
      </c>
      <c r="DC44" s="560">
        <v>35.4</v>
      </c>
      <c r="DD44" s="560">
        <v>35.200000000000003</v>
      </c>
      <c r="DE44" s="560">
        <v>34.799999999999997</v>
      </c>
      <c r="DF44" s="560">
        <v>34.4</v>
      </c>
      <c r="DG44" s="560">
        <v>33.6</v>
      </c>
      <c r="DH44" s="560">
        <v>33.4</v>
      </c>
      <c r="DI44" s="560">
        <v>33.799999999999997</v>
      </c>
      <c r="DJ44" s="560">
        <v>33.799999999999997</v>
      </c>
      <c r="DK44" s="560">
        <v>35</v>
      </c>
      <c r="DL44" s="560">
        <v>36.799999999999997</v>
      </c>
      <c r="DM44" s="560">
        <v>39.9</v>
      </c>
      <c r="DN44" s="560">
        <v>42.4</v>
      </c>
      <c r="DO44" s="560">
        <v>45</v>
      </c>
      <c r="DP44" s="560">
        <v>46.4</v>
      </c>
      <c r="DQ44" s="560">
        <v>46.9</v>
      </c>
      <c r="DR44" s="560">
        <v>45.1</v>
      </c>
      <c r="DS44" s="560">
        <v>45.5</v>
      </c>
      <c r="DT44" s="560">
        <v>45.8</v>
      </c>
      <c r="DU44" s="560">
        <v>47</v>
      </c>
      <c r="DV44" s="560">
        <v>55.2</v>
      </c>
      <c r="DW44" s="560">
        <v>62</v>
      </c>
      <c r="DX44" s="560">
        <v>71.2</v>
      </c>
      <c r="DY44" s="560">
        <v>46.4</v>
      </c>
      <c r="DZ44" s="560">
        <v>42.6</v>
      </c>
      <c r="EA44" s="560">
        <v>39.799999999999997</v>
      </c>
      <c r="EB44" s="560">
        <v>41.3</v>
      </c>
      <c r="EC44" s="560">
        <v>41.9</v>
      </c>
      <c r="ED44" s="560">
        <v>47.1</v>
      </c>
      <c r="EE44" s="560">
        <v>57.1</v>
      </c>
      <c r="EF44" s="560">
        <v>45.9</v>
      </c>
      <c r="EG44" s="560">
        <v>46</v>
      </c>
      <c r="EH44" s="560">
        <v>44.2</v>
      </c>
      <c r="EI44" s="560">
        <v>43.7</v>
      </c>
      <c r="EJ44" s="560">
        <v>45.4</v>
      </c>
      <c r="EK44" s="560">
        <v>52.3</v>
      </c>
      <c r="EL44" s="560">
        <v>56.7</v>
      </c>
      <c r="EM44" s="560">
        <v>60.7</v>
      </c>
      <c r="EN44" s="560">
        <v>62</v>
      </c>
      <c r="EO44" s="560">
        <v>64.2</v>
      </c>
      <c r="EP44" s="560">
        <v>55.7</v>
      </c>
      <c r="EQ44" s="560">
        <v>51.5</v>
      </c>
      <c r="ER44" s="560">
        <v>49.9</v>
      </c>
      <c r="ES44" s="560">
        <v>48.7</v>
      </c>
      <c r="ET44" s="560">
        <v>49.5</v>
      </c>
      <c r="EU44" s="560">
        <v>58.2</v>
      </c>
      <c r="EV44" s="560">
        <v>55.9</v>
      </c>
      <c r="EW44" s="560">
        <v>54.7</v>
      </c>
      <c r="EX44" s="560">
        <v>51.9</v>
      </c>
      <c r="EY44" s="560">
        <v>51.7</v>
      </c>
      <c r="EZ44" s="560">
        <v>52</v>
      </c>
      <c r="FA44" s="560">
        <v>54.6</v>
      </c>
      <c r="FB44" s="560">
        <v>55.4</v>
      </c>
      <c r="FC44" s="560">
        <v>55.5</v>
      </c>
      <c r="FD44" s="560">
        <v>67.099999999999994</v>
      </c>
      <c r="FE44" s="560">
        <v>55.5</v>
      </c>
      <c r="FF44" s="560">
        <v>54.8</v>
      </c>
      <c r="FG44" s="560">
        <v>55.5</v>
      </c>
      <c r="FH44" s="560">
        <v>56</v>
      </c>
      <c r="FI44" s="560">
        <v>56.9</v>
      </c>
      <c r="FJ44" s="560">
        <v>58.9</v>
      </c>
      <c r="FK44" s="560">
        <v>59.9</v>
      </c>
      <c r="FL44" s="560">
        <v>60.2</v>
      </c>
      <c r="FM44" s="560">
        <v>61.1</v>
      </c>
      <c r="FN44" s="560">
        <v>58.4</v>
      </c>
      <c r="FO44" s="560">
        <v>58.1</v>
      </c>
      <c r="FP44" s="560">
        <v>56.3</v>
      </c>
      <c r="FQ44" s="560">
        <v>59.4</v>
      </c>
      <c r="FR44" s="560">
        <v>59.4</v>
      </c>
      <c r="FS44" s="560">
        <v>60.1</v>
      </c>
      <c r="FT44" s="560">
        <v>60</v>
      </c>
      <c r="FU44" s="560">
        <v>59.4</v>
      </c>
      <c r="FV44" s="560">
        <v>58.7</v>
      </c>
      <c r="FW44" s="560">
        <v>58.5</v>
      </c>
      <c r="FX44" s="560">
        <v>58.2</v>
      </c>
      <c r="FY44" s="560">
        <v>57</v>
      </c>
      <c r="FZ44" s="560">
        <v>56</v>
      </c>
      <c r="GA44" s="560">
        <v>56.4</v>
      </c>
      <c r="GB44" s="560">
        <v>57.7</v>
      </c>
      <c r="GC44" s="560">
        <v>58.7</v>
      </c>
      <c r="GD44" s="560">
        <v>60.7</v>
      </c>
      <c r="GE44" s="560">
        <v>62.4</v>
      </c>
      <c r="GF44" s="560">
        <v>63</v>
      </c>
      <c r="GG44" s="560">
        <v>60.9</v>
      </c>
      <c r="GH44" s="560">
        <v>59.3</v>
      </c>
      <c r="GI44" s="560">
        <v>58</v>
      </c>
      <c r="GJ44" s="560">
        <v>61.9</v>
      </c>
      <c r="GK44" s="560">
        <v>60.2</v>
      </c>
      <c r="GL44" s="560">
        <v>58.7</v>
      </c>
      <c r="GM44" s="560">
        <v>58.2</v>
      </c>
      <c r="GN44" s="560">
        <v>57.8</v>
      </c>
      <c r="GO44" s="560">
        <v>78.5</v>
      </c>
      <c r="GP44" s="560">
        <v>69</v>
      </c>
      <c r="GQ44" s="560">
        <v>58.8</v>
      </c>
      <c r="GR44" s="560">
        <v>81.2</v>
      </c>
      <c r="GS44" s="560">
        <v>82.8</v>
      </c>
      <c r="GT44" s="560">
        <v>80.900000000000006</v>
      </c>
      <c r="GU44" s="560">
        <v>1124.3</v>
      </c>
      <c r="GV44" s="560">
        <v>1221.2</v>
      </c>
      <c r="GW44" s="560">
        <v>619.20000000000005</v>
      </c>
      <c r="GX44" s="560">
        <v>406.3</v>
      </c>
      <c r="GY44" s="560">
        <v>692.2</v>
      </c>
    </row>
    <row r="45" spans="1:207">
      <c r="A45" s="560" t="s">
        <v>241</v>
      </c>
      <c r="GU45" s="560">
        <v>1078.0999999999999</v>
      </c>
      <c r="GV45" s="560">
        <v>15.6</v>
      </c>
      <c r="GW45" s="560">
        <v>5</v>
      </c>
      <c r="GX45" s="560">
        <v>1933.7</v>
      </c>
      <c r="GY45" s="560">
        <v>290.10000000000002</v>
      </c>
    </row>
    <row r="46" spans="1:207">
      <c r="A46" s="560" t="s">
        <v>242</v>
      </c>
      <c r="GU46" s="560">
        <v>9.6</v>
      </c>
      <c r="GV46" s="560">
        <v>14.4</v>
      </c>
      <c r="GW46" s="560">
        <v>14.3</v>
      </c>
      <c r="GX46" s="560">
        <v>14.2</v>
      </c>
      <c r="GY46" s="560">
        <v>14.1</v>
      </c>
    </row>
    <row r="47" spans="1:207">
      <c r="A47" s="560" t="s">
        <v>243</v>
      </c>
      <c r="GU47" s="560">
        <v>57.2</v>
      </c>
      <c r="GV47" s="560">
        <v>81.2</v>
      </c>
      <c r="GW47" s="560">
        <v>24.4</v>
      </c>
      <c r="GX47" s="560">
        <v>10.8</v>
      </c>
      <c r="GY47" s="560">
        <v>24.7</v>
      </c>
    </row>
    <row r="48" spans="1:207">
      <c r="A48" s="560" t="s">
        <v>244</v>
      </c>
      <c r="GT48" s="560">
        <v>1.5</v>
      </c>
      <c r="GU48" s="560">
        <v>160.9</v>
      </c>
      <c r="GV48" s="560">
        <v>58.4</v>
      </c>
      <c r="GW48" s="560">
        <v>34.5</v>
      </c>
      <c r="GX48" s="560">
        <v>42.8</v>
      </c>
      <c r="GY48" s="560">
        <v>26.6</v>
      </c>
    </row>
    <row r="49" spans="1:207">
      <c r="A49" s="560" t="s">
        <v>245</v>
      </c>
      <c r="GU49" s="560">
        <v>576.9</v>
      </c>
      <c r="GV49" s="560">
        <v>819.5</v>
      </c>
      <c r="GW49" s="560">
        <v>246.3</v>
      </c>
      <c r="GX49" s="560">
        <v>184.6</v>
      </c>
      <c r="GY49" s="560">
        <v>427.2</v>
      </c>
    </row>
    <row r="50" spans="1:207">
      <c r="A50" s="560" t="s">
        <v>246</v>
      </c>
      <c r="GU50" s="560">
        <v>63.8</v>
      </c>
      <c r="GV50" s="560">
        <v>15</v>
      </c>
      <c r="GW50" s="560">
        <v>0.1</v>
      </c>
      <c r="GX50" s="560">
        <v>38</v>
      </c>
      <c r="GY50" s="560">
        <v>47.3</v>
      </c>
    </row>
    <row r="51" spans="1:207">
      <c r="A51" s="560" t="s">
        <v>247</v>
      </c>
      <c r="GU51" s="560">
        <v>73.3</v>
      </c>
      <c r="GV51" s="560">
        <v>73.3</v>
      </c>
      <c r="GW51" s="560">
        <v>73.3</v>
      </c>
      <c r="GX51" s="560">
        <v>62.9</v>
      </c>
      <c r="GY51" s="560">
        <v>62.9</v>
      </c>
    </row>
    <row r="52" spans="1:207">
      <c r="A52" s="560" t="s">
        <v>248</v>
      </c>
      <c r="GU52" s="560">
        <v>22</v>
      </c>
      <c r="GV52" s="560">
        <v>25.3</v>
      </c>
      <c r="GW52" s="560">
        <v>11.8</v>
      </c>
      <c r="GX52" s="560">
        <v>9.8000000000000007</v>
      </c>
      <c r="GY52" s="560">
        <v>12.3</v>
      </c>
    </row>
    <row r="53" spans="1:207">
      <c r="A53" s="560" t="s">
        <v>249</v>
      </c>
      <c r="GU53" s="560">
        <v>16.899999999999999</v>
      </c>
      <c r="GV53" s="560">
        <v>18.399999999999999</v>
      </c>
      <c r="GW53" s="560">
        <v>46.2</v>
      </c>
      <c r="GX53" s="560">
        <v>0.9</v>
      </c>
      <c r="GY53" s="560">
        <v>1.8</v>
      </c>
    </row>
    <row r="54" spans="1:207">
      <c r="A54" s="560" t="s">
        <v>250</v>
      </c>
      <c r="GU54" s="560">
        <v>96.6</v>
      </c>
      <c r="GV54" s="560">
        <v>35.1</v>
      </c>
      <c r="GW54" s="560">
        <v>20.7</v>
      </c>
      <c r="GX54" s="560">
        <v>25.7</v>
      </c>
      <c r="GY54" s="560">
        <v>16</v>
      </c>
    </row>
    <row r="55" spans="1:207">
      <c r="A55" s="560" t="s">
        <v>251</v>
      </c>
      <c r="GU55" s="560">
        <v>140</v>
      </c>
      <c r="GV55" s="560">
        <v>140</v>
      </c>
      <c r="GW55" s="560">
        <v>140</v>
      </c>
      <c r="GX55" s="560">
        <v>8</v>
      </c>
      <c r="GY55" s="560">
        <v>8</v>
      </c>
    </row>
    <row r="56" spans="1:207">
      <c r="A56" s="560" t="s">
        <v>1</v>
      </c>
      <c r="GU56" s="560">
        <v>597.9</v>
      </c>
      <c r="GV56" s="560">
        <v>0</v>
      </c>
      <c r="GW56" s="560">
        <v>0</v>
      </c>
      <c r="GX56" s="560">
        <v>0</v>
      </c>
      <c r="GY56" s="560">
        <v>785.9</v>
      </c>
    </row>
    <row r="57" spans="1:207">
      <c r="A57" s="560" t="s">
        <v>2</v>
      </c>
      <c r="GU57" s="560">
        <v>28.4</v>
      </c>
      <c r="GV57" s="560">
        <v>15.8</v>
      </c>
      <c r="GW57" s="560">
        <v>15.2</v>
      </c>
      <c r="GX57" s="560">
        <v>28.9</v>
      </c>
      <c r="GY57" s="560">
        <v>67.599999999999994</v>
      </c>
    </row>
    <row r="58" spans="1:207">
      <c r="A58" s="560" t="s">
        <v>3</v>
      </c>
      <c r="GU58" s="560">
        <v>64.400000000000006</v>
      </c>
      <c r="GV58" s="560">
        <v>23.4</v>
      </c>
      <c r="GW58" s="560">
        <v>13.8</v>
      </c>
      <c r="GX58" s="560">
        <v>17.100000000000001</v>
      </c>
      <c r="GY58" s="560">
        <v>10.6</v>
      </c>
    </row>
    <row r="59" spans="1:207">
      <c r="A59" s="560" t="s">
        <v>195</v>
      </c>
      <c r="GU59" s="560">
        <v>6.3</v>
      </c>
      <c r="GV59" s="560">
        <v>26.7</v>
      </c>
      <c r="GW59" s="560">
        <v>82.1</v>
      </c>
      <c r="GX59" s="560">
        <v>97.8</v>
      </c>
      <c r="GY59" s="560">
        <v>104.5</v>
      </c>
    </row>
    <row r="60" spans="1:207">
      <c r="A60" s="560" t="s">
        <v>196</v>
      </c>
      <c r="GU60" s="560">
        <v>74.400000000000006</v>
      </c>
      <c r="GV60" s="560">
        <v>138.30000000000001</v>
      </c>
      <c r="GW60" s="560">
        <v>106.8</v>
      </c>
      <c r="GX60" s="560">
        <v>95.3</v>
      </c>
      <c r="GY60" s="560">
        <v>82.1</v>
      </c>
    </row>
    <row r="61" spans="1:207">
      <c r="A61" s="560" t="s">
        <v>197</v>
      </c>
      <c r="GU61" s="560">
        <v>698.9</v>
      </c>
      <c r="GV61" s="560">
        <v>413.9</v>
      </c>
      <c r="GW61" s="560">
        <v>14.7</v>
      </c>
      <c r="GX61" s="560">
        <v>286.89999999999998</v>
      </c>
      <c r="GY61" s="560">
        <v>237.2</v>
      </c>
    </row>
    <row r="62" spans="1:207">
      <c r="A62" s="560" t="s">
        <v>252</v>
      </c>
      <c r="GU62" s="560">
        <v>779.6</v>
      </c>
      <c r="GV62" s="560">
        <v>582.4</v>
      </c>
      <c r="GW62" s="560">
        <v>216.6</v>
      </c>
      <c r="GX62" s="560">
        <v>505</v>
      </c>
      <c r="GY62" s="560">
        <v>429.7</v>
      </c>
    </row>
    <row r="63" spans="1:207">
      <c r="A63" s="560" t="s">
        <v>194</v>
      </c>
      <c r="GU63" s="560">
        <v>0.1</v>
      </c>
      <c r="GV63" s="560">
        <v>3.7</v>
      </c>
      <c r="GW63" s="560">
        <v>12.9</v>
      </c>
      <c r="GX63" s="560">
        <v>25</v>
      </c>
      <c r="GY63" s="560">
        <v>5.8</v>
      </c>
    </row>
    <row r="64" spans="1:207">
      <c r="A64" s="560" t="s">
        <v>198</v>
      </c>
      <c r="GV64" s="560">
        <v>106.2</v>
      </c>
      <c r="GW64" s="560">
        <v>35.9</v>
      </c>
      <c r="GX64" s="560">
        <v>1.6</v>
      </c>
      <c r="GY64" s="560">
        <v>0.6</v>
      </c>
    </row>
    <row r="65" spans="1:207">
      <c r="A65" s="560" t="s">
        <v>673</v>
      </c>
      <c r="B65" s="560">
        <v>5.7</v>
      </c>
      <c r="C65" s="560">
        <v>5.4</v>
      </c>
      <c r="D65" s="560">
        <v>4.9000000000000004</v>
      </c>
      <c r="E65" s="560">
        <v>5.0999999999999996</v>
      </c>
      <c r="F65" s="560">
        <v>5.6</v>
      </c>
      <c r="G65" s="560">
        <v>6.4</v>
      </c>
      <c r="H65" s="560">
        <v>5.9</v>
      </c>
      <c r="I65" s="560">
        <v>5.8</v>
      </c>
      <c r="J65" s="560">
        <v>5.9</v>
      </c>
      <c r="K65" s="560">
        <v>5.5</v>
      </c>
      <c r="L65" s="560">
        <v>7</v>
      </c>
      <c r="M65" s="560">
        <v>5.9</v>
      </c>
      <c r="N65" s="560">
        <v>5.9</v>
      </c>
      <c r="O65" s="560">
        <v>6.4</v>
      </c>
      <c r="P65" s="560">
        <v>5.5</v>
      </c>
      <c r="Q65" s="560">
        <v>6.1</v>
      </c>
      <c r="R65" s="560">
        <v>8</v>
      </c>
      <c r="S65" s="560">
        <v>8.8000000000000007</v>
      </c>
      <c r="T65" s="560">
        <v>6.7</v>
      </c>
      <c r="U65" s="560">
        <v>8.1</v>
      </c>
      <c r="V65" s="560">
        <v>9</v>
      </c>
      <c r="W65" s="560">
        <v>8.1</v>
      </c>
      <c r="X65" s="560">
        <v>11.1</v>
      </c>
      <c r="Y65" s="560">
        <v>10.7</v>
      </c>
      <c r="Z65" s="560">
        <v>10.3</v>
      </c>
      <c r="AA65" s="560">
        <v>10</v>
      </c>
      <c r="AB65" s="560">
        <v>10.8</v>
      </c>
      <c r="AC65" s="560">
        <v>11.3</v>
      </c>
      <c r="AD65" s="560">
        <v>10.9</v>
      </c>
      <c r="AE65" s="560">
        <v>10.9</v>
      </c>
      <c r="AF65" s="560">
        <v>12.1</v>
      </c>
      <c r="AG65" s="560">
        <v>10.9</v>
      </c>
      <c r="AH65" s="560">
        <v>11.2</v>
      </c>
      <c r="AI65" s="560">
        <v>11.8</v>
      </c>
      <c r="AJ65" s="560">
        <v>12.2</v>
      </c>
      <c r="AK65" s="560">
        <v>12.8</v>
      </c>
      <c r="AL65" s="560">
        <v>13.9</v>
      </c>
      <c r="AM65" s="560">
        <v>13.4</v>
      </c>
      <c r="AN65" s="560">
        <v>14.7</v>
      </c>
      <c r="AO65" s="560">
        <v>16.100000000000001</v>
      </c>
      <c r="AP65" s="560">
        <v>16.7</v>
      </c>
      <c r="AQ65" s="560">
        <v>16.899999999999999</v>
      </c>
      <c r="AR65" s="560">
        <v>16.3</v>
      </c>
      <c r="AS65" s="560">
        <v>17.100000000000001</v>
      </c>
      <c r="AT65" s="560">
        <v>16.399999999999999</v>
      </c>
      <c r="AU65" s="560">
        <v>16</v>
      </c>
      <c r="AV65" s="560">
        <v>15.1</v>
      </c>
      <c r="AW65" s="560">
        <v>15.4</v>
      </c>
      <c r="AX65" s="560">
        <v>14.2</v>
      </c>
      <c r="AY65" s="560">
        <v>14.9</v>
      </c>
      <c r="AZ65" s="560">
        <v>14.8</v>
      </c>
      <c r="BA65" s="560">
        <v>14.7</v>
      </c>
      <c r="BB65" s="560">
        <v>16.100000000000001</v>
      </c>
      <c r="BC65" s="560">
        <v>14.3</v>
      </c>
      <c r="BD65" s="560">
        <v>16</v>
      </c>
      <c r="BE65" s="560">
        <v>15.9</v>
      </c>
      <c r="BF65" s="560">
        <v>16.7</v>
      </c>
      <c r="BG65" s="560">
        <v>17.3</v>
      </c>
      <c r="BH65" s="560">
        <v>18.2</v>
      </c>
      <c r="BI65" s="560">
        <v>18.899999999999999</v>
      </c>
      <c r="BJ65" s="560">
        <v>17.2</v>
      </c>
      <c r="BK65" s="560">
        <v>19.600000000000001</v>
      </c>
      <c r="BL65" s="560">
        <v>20.2</v>
      </c>
      <c r="BM65" s="560">
        <v>21.3</v>
      </c>
      <c r="BN65" s="560">
        <v>19.8</v>
      </c>
      <c r="BO65" s="560">
        <v>20.7</v>
      </c>
      <c r="BP65" s="560">
        <v>21.4</v>
      </c>
      <c r="BQ65" s="560">
        <v>18.399999999999999</v>
      </c>
      <c r="BR65" s="560">
        <v>18.899999999999999</v>
      </c>
      <c r="BS65" s="560">
        <v>19.7</v>
      </c>
      <c r="BT65" s="560">
        <v>19</v>
      </c>
      <c r="BU65" s="560">
        <v>18.8</v>
      </c>
      <c r="BV65" s="560">
        <v>19.100000000000001</v>
      </c>
      <c r="BW65" s="560">
        <v>20</v>
      </c>
      <c r="BX65" s="560">
        <v>20.5</v>
      </c>
      <c r="BY65" s="560">
        <v>19.399999999999999</v>
      </c>
      <c r="BZ65" s="560">
        <v>20.3</v>
      </c>
      <c r="CA65" s="560">
        <v>20.100000000000001</v>
      </c>
      <c r="CB65" s="560">
        <v>19</v>
      </c>
      <c r="CC65" s="560">
        <v>21.5</v>
      </c>
      <c r="CD65" s="560">
        <v>22.3</v>
      </c>
      <c r="CE65" s="560">
        <v>20.3</v>
      </c>
      <c r="CF65" s="560">
        <v>20.7</v>
      </c>
      <c r="CG65" s="560">
        <v>49.5</v>
      </c>
      <c r="CH65" s="560">
        <v>26</v>
      </c>
      <c r="CI65" s="560">
        <v>22.2</v>
      </c>
      <c r="CJ65" s="560">
        <v>37.1</v>
      </c>
      <c r="CK65" s="560">
        <v>20.8</v>
      </c>
      <c r="CL65" s="560">
        <v>21.6</v>
      </c>
      <c r="CM65" s="560">
        <v>23.2</v>
      </c>
      <c r="CN65" s="560">
        <v>22.5</v>
      </c>
      <c r="CO65" s="560">
        <v>23.2</v>
      </c>
      <c r="CP65" s="560">
        <v>24.4</v>
      </c>
      <c r="CQ65" s="560">
        <v>22.6</v>
      </c>
      <c r="CR65" s="560">
        <v>25.3</v>
      </c>
      <c r="CS65" s="560">
        <v>24.9</v>
      </c>
      <c r="CT65" s="560">
        <v>23.8</v>
      </c>
      <c r="CU65" s="560">
        <v>27.5</v>
      </c>
      <c r="CV65" s="560">
        <v>26.2</v>
      </c>
      <c r="CW65" s="560">
        <v>26.7</v>
      </c>
      <c r="CX65" s="560">
        <v>27.9</v>
      </c>
      <c r="CY65" s="560">
        <v>28.2</v>
      </c>
      <c r="CZ65" s="560">
        <v>28.4</v>
      </c>
      <c r="DA65" s="560">
        <v>27</v>
      </c>
      <c r="DB65" s="560">
        <v>29.3</v>
      </c>
      <c r="DC65" s="560">
        <v>28.1</v>
      </c>
      <c r="DD65" s="560">
        <v>27.3</v>
      </c>
      <c r="DE65" s="560">
        <v>28.9</v>
      </c>
      <c r="DF65" s="560">
        <v>28.6</v>
      </c>
      <c r="DG65" s="560">
        <v>29.5</v>
      </c>
      <c r="DH65" s="560">
        <v>29.7</v>
      </c>
      <c r="DI65" s="560">
        <v>29</v>
      </c>
      <c r="DJ65" s="560">
        <v>27.3</v>
      </c>
      <c r="DK65" s="560">
        <v>27.5</v>
      </c>
      <c r="DL65" s="560">
        <v>29.4</v>
      </c>
      <c r="DM65" s="560">
        <v>31.5</v>
      </c>
      <c r="DN65" s="560">
        <v>29.2</v>
      </c>
      <c r="DO65" s="560">
        <v>33.9</v>
      </c>
      <c r="DP65" s="560">
        <v>35.9</v>
      </c>
      <c r="DQ65" s="560">
        <v>56.3</v>
      </c>
      <c r="DR65" s="560">
        <v>38</v>
      </c>
      <c r="DS65" s="560">
        <v>37.9</v>
      </c>
      <c r="DT65" s="560">
        <v>39.4</v>
      </c>
      <c r="DU65" s="560">
        <v>49.6</v>
      </c>
      <c r="DV65" s="560">
        <v>40.9</v>
      </c>
      <c r="DW65" s="560">
        <v>43.8</v>
      </c>
      <c r="DX65" s="560">
        <v>44.3</v>
      </c>
      <c r="DY65" s="560">
        <v>45.3</v>
      </c>
      <c r="DZ65" s="560">
        <v>59.6</v>
      </c>
      <c r="EA65" s="560">
        <v>47.2</v>
      </c>
      <c r="EB65" s="560">
        <v>43.2</v>
      </c>
      <c r="EC65" s="560">
        <v>63.5</v>
      </c>
      <c r="ED65" s="560">
        <v>65.7</v>
      </c>
      <c r="EE65" s="560">
        <v>75.5</v>
      </c>
      <c r="EF65" s="560">
        <v>71.5</v>
      </c>
      <c r="EG65" s="560">
        <v>66.400000000000006</v>
      </c>
      <c r="EH65" s="560">
        <v>75.3</v>
      </c>
      <c r="EI65" s="560">
        <v>65.2</v>
      </c>
      <c r="EJ65" s="560">
        <v>74.7</v>
      </c>
      <c r="EK65" s="560">
        <v>70.2</v>
      </c>
      <c r="EL65" s="560">
        <v>90.6</v>
      </c>
      <c r="EM65" s="560">
        <v>75</v>
      </c>
      <c r="EN65" s="560">
        <v>141.5</v>
      </c>
      <c r="EO65" s="560">
        <v>82.9</v>
      </c>
      <c r="EP65" s="560">
        <v>80.5</v>
      </c>
      <c r="EQ65" s="560">
        <v>77.5</v>
      </c>
      <c r="ER65" s="560">
        <v>74.8</v>
      </c>
      <c r="ES65" s="560">
        <v>73.900000000000006</v>
      </c>
      <c r="ET65" s="560">
        <v>90.3</v>
      </c>
      <c r="EU65" s="560">
        <v>86.5</v>
      </c>
      <c r="EV65" s="560">
        <v>86.3</v>
      </c>
      <c r="EW65" s="560">
        <v>80.400000000000006</v>
      </c>
      <c r="EX65" s="560">
        <v>87</v>
      </c>
      <c r="EY65" s="560">
        <v>81.400000000000006</v>
      </c>
      <c r="EZ65" s="560">
        <v>91.2</v>
      </c>
      <c r="FA65" s="560">
        <v>348.6</v>
      </c>
      <c r="FB65" s="560">
        <v>301.2</v>
      </c>
      <c r="FC65" s="560">
        <v>226</v>
      </c>
      <c r="FD65" s="560">
        <v>144.9</v>
      </c>
      <c r="FE65" s="560">
        <v>178.4</v>
      </c>
      <c r="FF65" s="560">
        <v>164.3</v>
      </c>
      <c r="FG65" s="560">
        <v>195.8</v>
      </c>
      <c r="FH65" s="560">
        <v>122.5</v>
      </c>
      <c r="FI65" s="560">
        <v>110</v>
      </c>
      <c r="FJ65" s="560">
        <v>110.2</v>
      </c>
      <c r="FK65" s="560">
        <v>142.19999999999999</v>
      </c>
      <c r="FL65" s="560">
        <v>122.8</v>
      </c>
      <c r="FM65" s="560">
        <v>149.69999999999999</v>
      </c>
      <c r="FN65" s="560">
        <v>110.8</v>
      </c>
      <c r="FO65" s="560">
        <v>93</v>
      </c>
      <c r="FP65" s="560">
        <v>90.7</v>
      </c>
      <c r="FQ65" s="560">
        <v>125.3</v>
      </c>
      <c r="FR65" s="560">
        <v>91.2</v>
      </c>
      <c r="FS65" s="560">
        <v>84.4</v>
      </c>
      <c r="FT65" s="560">
        <v>85.3</v>
      </c>
      <c r="FU65" s="560">
        <v>79.7</v>
      </c>
      <c r="FV65" s="560">
        <v>86.8</v>
      </c>
      <c r="FW65" s="560">
        <v>84.1</v>
      </c>
      <c r="FX65" s="560">
        <v>83</v>
      </c>
      <c r="FY65" s="560">
        <v>80.8</v>
      </c>
      <c r="FZ65" s="560">
        <v>83.2</v>
      </c>
      <c r="GA65" s="560">
        <v>77.099999999999994</v>
      </c>
      <c r="GB65" s="560">
        <v>83.9</v>
      </c>
      <c r="GC65" s="560">
        <v>76.400000000000006</v>
      </c>
      <c r="GD65" s="560">
        <v>80.900000000000006</v>
      </c>
      <c r="GE65" s="560">
        <v>77.2</v>
      </c>
      <c r="GF65" s="560">
        <v>79.599999999999994</v>
      </c>
      <c r="GG65" s="560">
        <v>84.5</v>
      </c>
      <c r="GH65" s="560">
        <v>83.7</v>
      </c>
      <c r="GI65" s="560">
        <v>84.9</v>
      </c>
      <c r="GJ65" s="560">
        <v>116</v>
      </c>
      <c r="GK65" s="560">
        <v>80.3</v>
      </c>
      <c r="GL65" s="560">
        <v>77.900000000000006</v>
      </c>
      <c r="GM65" s="560">
        <v>85.3</v>
      </c>
      <c r="GN65" s="560">
        <v>84.4</v>
      </c>
      <c r="GO65" s="560">
        <v>81.400000000000006</v>
      </c>
      <c r="GP65" s="560">
        <v>84.5</v>
      </c>
      <c r="GQ65" s="560">
        <v>77.900000000000006</v>
      </c>
      <c r="GR65" s="560">
        <v>81</v>
      </c>
      <c r="GS65" s="560">
        <v>132.30000000000001</v>
      </c>
      <c r="GT65" s="560">
        <v>92.5</v>
      </c>
      <c r="GU65" s="560">
        <v>92</v>
      </c>
      <c r="GV65" s="560">
        <v>92.1</v>
      </c>
      <c r="GW65" s="560">
        <v>90.4</v>
      </c>
      <c r="GX65" s="560">
        <v>297.7</v>
      </c>
      <c r="GY65" s="560">
        <v>88.8</v>
      </c>
    </row>
    <row r="66" spans="1:207">
      <c r="A66" s="560" t="s">
        <v>600</v>
      </c>
      <c r="B66" s="560">
        <v>0.58399999999999996</v>
      </c>
      <c r="C66" s="560">
        <v>0.98</v>
      </c>
      <c r="D66" s="560">
        <v>1.256</v>
      </c>
      <c r="E66" s="560">
        <v>1.5920000000000001</v>
      </c>
      <c r="F66" s="560">
        <v>1.62</v>
      </c>
      <c r="G66" s="560">
        <v>1.6</v>
      </c>
      <c r="H66" s="560">
        <v>1.7</v>
      </c>
      <c r="I66" s="560">
        <v>1.8720000000000001</v>
      </c>
      <c r="J66" s="560">
        <v>1.8320000000000001</v>
      </c>
      <c r="K66" s="560">
        <v>1.8240000000000001</v>
      </c>
      <c r="L66" s="560">
        <v>2.1080000000000001</v>
      </c>
      <c r="M66" s="560">
        <v>2.1560000000000001</v>
      </c>
      <c r="N66" s="560">
        <v>2.1560000000000001</v>
      </c>
      <c r="O66" s="560">
        <v>2.1440000000000001</v>
      </c>
      <c r="P66" s="560">
        <v>2.2480000000000002</v>
      </c>
      <c r="Q66" s="560">
        <v>2.2879999999999998</v>
      </c>
      <c r="R66" s="560">
        <v>3.0640000000000001</v>
      </c>
      <c r="S66" s="560">
        <v>3.16</v>
      </c>
      <c r="T66" s="560">
        <v>3.62</v>
      </c>
      <c r="U66" s="560">
        <v>3.8879999999999999</v>
      </c>
      <c r="V66" s="560">
        <v>4.3639999999999999</v>
      </c>
      <c r="W66" s="560">
        <v>4.5119999999999996</v>
      </c>
      <c r="X66" s="560">
        <v>4.8319999999999999</v>
      </c>
      <c r="Y66" s="560">
        <v>4.68</v>
      </c>
      <c r="Z66" s="560">
        <v>4.7679999999999998</v>
      </c>
      <c r="AA66" s="560">
        <v>4.6760000000000002</v>
      </c>
      <c r="AB66" s="560">
        <v>4.4160000000000004</v>
      </c>
      <c r="AC66" s="560">
        <v>4.532</v>
      </c>
      <c r="AD66" s="560">
        <v>4.4960000000000004</v>
      </c>
      <c r="AE66" s="560">
        <v>4.3159999999999998</v>
      </c>
      <c r="AF66" s="560">
        <v>4.38</v>
      </c>
      <c r="AG66" s="560">
        <v>4.3840000000000003</v>
      </c>
      <c r="AH66" s="560">
        <v>4.5839999999999996</v>
      </c>
      <c r="AI66" s="560">
        <v>4.4880000000000004</v>
      </c>
      <c r="AJ66" s="560">
        <v>4.6719999999999997</v>
      </c>
      <c r="AK66" s="560">
        <v>4.5960000000000001</v>
      </c>
      <c r="AL66" s="560">
        <v>5.4240000000000004</v>
      </c>
      <c r="AM66" s="560">
        <v>5.78</v>
      </c>
      <c r="AN66" s="560">
        <v>6.88</v>
      </c>
      <c r="AO66" s="560">
        <v>7.2439999999999998</v>
      </c>
      <c r="AP66" s="560">
        <v>7.7640000000000002</v>
      </c>
      <c r="AQ66" s="560">
        <v>8.14</v>
      </c>
      <c r="AR66" s="560">
        <v>8.44</v>
      </c>
      <c r="AS66" s="560">
        <v>8.5120000000000005</v>
      </c>
      <c r="AT66" s="560">
        <v>10.144</v>
      </c>
      <c r="AU66" s="560">
        <v>10.272</v>
      </c>
      <c r="AV66" s="560">
        <v>10.16</v>
      </c>
      <c r="AW66" s="560">
        <v>9.6839999999999993</v>
      </c>
      <c r="AX66" s="560">
        <v>9.2959999999999994</v>
      </c>
      <c r="AY66" s="560">
        <v>9.4320000000000004</v>
      </c>
      <c r="AZ66" s="560">
        <v>9.6760000000000002</v>
      </c>
      <c r="BA66" s="560">
        <v>11.18</v>
      </c>
      <c r="BB66" s="560">
        <v>11.288</v>
      </c>
      <c r="BC66" s="560">
        <v>11.124000000000001</v>
      </c>
      <c r="BD66" s="560">
        <v>10.964</v>
      </c>
      <c r="BE66" s="560">
        <v>10.888</v>
      </c>
      <c r="BF66" s="560">
        <v>10.8</v>
      </c>
      <c r="BG66" s="560">
        <v>10.624000000000001</v>
      </c>
      <c r="BH66" s="560">
        <v>10.432</v>
      </c>
      <c r="BI66" s="560">
        <v>10.82</v>
      </c>
      <c r="BJ66" s="560">
        <v>10.784000000000001</v>
      </c>
      <c r="BK66" s="560">
        <v>10.72</v>
      </c>
      <c r="BL66" s="560">
        <v>10.612</v>
      </c>
      <c r="BM66" s="560">
        <v>10.644</v>
      </c>
      <c r="BN66" s="560">
        <v>10.488</v>
      </c>
      <c r="BO66" s="560">
        <v>10.564</v>
      </c>
      <c r="BP66" s="560">
        <v>10.576000000000001</v>
      </c>
      <c r="BQ66" s="560">
        <v>10.584</v>
      </c>
      <c r="BR66" s="560">
        <v>10.54</v>
      </c>
      <c r="BS66" s="560">
        <v>10.488</v>
      </c>
      <c r="BT66" s="560">
        <v>10.311999999999999</v>
      </c>
      <c r="BU66" s="560">
        <v>11.087999999999999</v>
      </c>
      <c r="BV66" s="560">
        <v>11.176</v>
      </c>
      <c r="BW66" s="560">
        <v>11.132</v>
      </c>
      <c r="BX66" s="560">
        <v>11.052</v>
      </c>
      <c r="BY66" s="560">
        <v>11.492000000000001</v>
      </c>
      <c r="BZ66" s="560">
        <v>11.656000000000001</v>
      </c>
      <c r="CA66" s="560">
        <v>11.712</v>
      </c>
      <c r="CB66" s="560">
        <v>11.784000000000001</v>
      </c>
      <c r="CC66" s="560">
        <v>14.148</v>
      </c>
      <c r="CD66" s="560">
        <v>13.984</v>
      </c>
      <c r="CE66" s="560">
        <v>14.215999999999999</v>
      </c>
      <c r="CF66" s="560">
        <v>14.404</v>
      </c>
      <c r="CG66" s="560">
        <v>16.36</v>
      </c>
      <c r="CH66" s="560">
        <v>16.995999999999999</v>
      </c>
      <c r="CI66" s="560">
        <v>17.635999999999999</v>
      </c>
      <c r="CJ66" s="560">
        <v>18.091999999999999</v>
      </c>
      <c r="CK66" s="560">
        <v>20.332000000000001</v>
      </c>
      <c r="CL66" s="560">
        <v>20.596</v>
      </c>
      <c r="CM66" s="560">
        <v>20.931999999999999</v>
      </c>
      <c r="CN66" s="560">
        <v>21.792000000000002</v>
      </c>
      <c r="CO66" s="560">
        <v>21.86</v>
      </c>
      <c r="CP66" s="560">
        <v>21.82</v>
      </c>
      <c r="CQ66" s="560">
        <v>22.14</v>
      </c>
      <c r="CR66" s="560">
        <v>22.204000000000001</v>
      </c>
      <c r="CS66" s="560">
        <v>22.68</v>
      </c>
      <c r="CT66" s="560">
        <v>23.06</v>
      </c>
      <c r="CU66" s="560">
        <v>22.58</v>
      </c>
      <c r="CV66" s="560">
        <v>22.504000000000001</v>
      </c>
      <c r="CW66" s="560">
        <v>23.224</v>
      </c>
      <c r="CX66" s="560">
        <v>22.716000000000001</v>
      </c>
      <c r="CY66" s="560">
        <v>22.384</v>
      </c>
      <c r="CZ66" s="560">
        <v>22.052</v>
      </c>
      <c r="DA66" s="560">
        <v>22.635999999999999</v>
      </c>
      <c r="DB66" s="560">
        <v>22.564</v>
      </c>
      <c r="DC66" s="560">
        <v>22.236000000000001</v>
      </c>
      <c r="DD66" s="560">
        <v>21.852</v>
      </c>
      <c r="DE66" s="560">
        <v>21.16</v>
      </c>
      <c r="DF66" s="560">
        <v>20.04</v>
      </c>
      <c r="DG66" s="560">
        <v>19.076000000000001</v>
      </c>
      <c r="DH66" s="560">
        <v>18.143999999999998</v>
      </c>
      <c r="DI66" s="560">
        <v>17.667999999999999</v>
      </c>
      <c r="DJ66" s="560">
        <v>17.123999999999999</v>
      </c>
      <c r="DK66" s="560">
        <v>16.579999999999998</v>
      </c>
      <c r="DL66" s="560">
        <v>15.976000000000001</v>
      </c>
      <c r="DM66" s="560">
        <v>16.18</v>
      </c>
      <c r="DN66" s="560">
        <v>15.788</v>
      </c>
      <c r="DO66" s="560">
        <v>15.464</v>
      </c>
      <c r="DP66" s="560">
        <v>15.284000000000001</v>
      </c>
      <c r="DQ66" s="560">
        <v>15.356</v>
      </c>
      <c r="DR66" s="560">
        <v>13.616</v>
      </c>
      <c r="DS66" s="560">
        <v>14.896000000000001</v>
      </c>
      <c r="DT66" s="560">
        <v>14.84</v>
      </c>
      <c r="DU66" s="560">
        <v>14.907999999999999</v>
      </c>
      <c r="DV66" s="560">
        <v>15.1</v>
      </c>
      <c r="DW66" s="560">
        <v>15.536</v>
      </c>
      <c r="DX66" s="560">
        <v>15.996</v>
      </c>
      <c r="DY66" s="560">
        <v>17.236000000000001</v>
      </c>
      <c r="DZ66" s="560">
        <v>17.898</v>
      </c>
      <c r="EA66" s="560">
        <v>18.222000000000001</v>
      </c>
      <c r="EB66" s="560">
        <v>18.484999999999999</v>
      </c>
      <c r="EC66" s="560">
        <v>19.841999999999999</v>
      </c>
      <c r="ED66" s="560">
        <v>20.652000000000001</v>
      </c>
      <c r="EE66" s="560">
        <v>21.759</v>
      </c>
      <c r="EF66" s="560">
        <v>22.788</v>
      </c>
      <c r="EG66" s="560">
        <v>23.298999999999999</v>
      </c>
      <c r="EH66" s="560">
        <v>24.085999999999999</v>
      </c>
      <c r="EI66" s="560">
        <v>24.969000000000001</v>
      </c>
      <c r="EJ66" s="560">
        <v>25.888000000000002</v>
      </c>
      <c r="EK66" s="560">
        <v>28.838999999999999</v>
      </c>
      <c r="EL66" s="560">
        <v>27.844000000000001</v>
      </c>
      <c r="EM66" s="560">
        <v>28.236999999999998</v>
      </c>
      <c r="EN66" s="560">
        <v>29.613</v>
      </c>
      <c r="EO66" s="560">
        <v>32.274000000000001</v>
      </c>
      <c r="EP66" s="560">
        <v>29.234999999999999</v>
      </c>
      <c r="EQ66" s="560">
        <v>29.263999999999999</v>
      </c>
      <c r="ER66" s="560">
        <v>29.344000000000001</v>
      </c>
      <c r="ES66" s="560">
        <v>29.716999999999999</v>
      </c>
      <c r="ET66" s="560">
        <v>30</v>
      </c>
      <c r="EU66" s="560">
        <v>30.391999999999999</v>
      </c>
      <c r="EV66" s="560">
        <v>30.74</v>
      </c>
      <c r="EW66" s="560">
        <v>32.552999999999997</v>
      </c>
      <c r="EX66" s="560">
        <v>33.466000000000001</v>
      </c>
      <c r="EY66" s="560">
        <v>34.606999999999999</v>
      </c>
      <c r="EZ66" s="560">
        <v>37.1</v>
      </c>
      <c r="FA66" s="560">
        <v>42.963999999999999</v>
      </c>
      <c r="FB66" s="560">
        <v>44.63</v>
      </c>
      <c r="FC66" s="560">
        <v>55.540999999999997</v>
      </c>
      <c r="FD66" s="560">
        <v>58.195</v>
      </c>
      <c r="FE66" s="560">
        <v>60.683</v>
      </c>
      <c r="FF66" s="560">
        <v>63.749000000000002</v>
      </c>
      <c r="FG66" s="560">
        <v>65.742999999999995</v>
      </c>
      <c r="FH66" s="560">
        <v>67.739999999999995</v>
      </c>
      <c r="FI66" s="560">
        <v>68.828000000000003</v>
      </c>
      <c r="FJ66" s="560">
        <v>71.063000000000002</v>
      </c>
      <c r="FK66" s="560">
        <v>72.828999999999994</v>
      </c>
      <c r="FL66" s="560">
        <v>73.527000000000001</v>
      </c>
      <c r="FM66" s="560">
        <v>73.492000000000004</v>
      </c>
      <c r="FN66" s="560">
        <v>74.054000000000002</v>
      </c>
      <c r="FO66" s="560">
        <v>74.347999999999999</v>
      </c>
      <c r="FP66" s="560">
        <v>75.343000000000004</v>
      </c>
      <c r="FQ66" s="560">
        <v>75.66</v>
      </c>
      <c r="FR66" s="560">
        <v>75.959999999999994</v>
      </c>
      <c r="FS66" s="560">
        <v>76.039000000000001</v>
      </c>
      <c r="FT66" s="560">
        <v>75.213999999999999</v>
      </c>
      <c r="FU66" s="560">
        <v>71.414000000000001</v>
      </c>
      <c r="FV66" s="560">
        <v>69.317999999999998</v>
      </c>
      <c r="FW66" s="560">
        <v>69.353999999999999</v>
      </c>
      <c r="FX66" s="560">
        <v>68.644999999999996</v>
      </c>
      <c r="FY66" s="560">
        <v>70.316999999999993</v>
      </c>
      <c r="FZ66" s="560">
        <v>69.766999999999996</v>
      </c>
      <c r="GA66" s="560">
        <v>69.164000000000001</v>
      </c>
      <c r="GB66" s="560">
        <v>68.382000000000005</v>
      </c>
      <c r="GC66" s="560">
        <v>67.638000000000005</v>
      </c>
      <c r="GD66" s="560">
        <v>67.293999999999997</v>
      </c>
      <c r="GE66" s="560">
        <v>65.412999999999997</v>
      </c>
      <c r="GF66" s="560">
        <v>64.802999999999997</v>
      </c>
      <c r="GG66" s="560">
        <v>64.498999999999995</v>
      </c>
      <c r="GH66" s="560">
        <v>63.601999999999997</v>
      </c>
      <c r="GI66" s="560">
        <v>62.271000000000001</v>
      </c>
      <c r="GJ66" s="560">
        <v>63.802</v>
      </c>
      <c r="GK66" s="560">
        <v>67.216999999999999</v>
      </c>
      <c r="GL66" s="560">
        <v>59.726999999999997</v>
      </c>
      <c r="GM66" s="560">
        <v>58.39</v>
      </c>
      <c r="GN66" s="560">
        <v>57.319000000000003</v>
      </c>
      <c r="GO66" s="560">
        <v>57.116</v>
      </c>
      <c r="GP66" s="560">
        <v>55.898000000000003</v>
      </c>
      <c r="GQ66" s="560">
        <v>54.478000000000002</v>
      </c>
      <c r="GR66" s="560">
        <v>54.216000000000001</v>
      </c>
      <c r="GS66" s="560">
        <v>54.152999999999999</v>
      </c>
      <c r="GT66" s="560">
        <v>57.268000000000001</v>
      </c>
      <c r="GU66" s="560">
        <v>92.045000000000002</v>
      </c>
      <c r="GV66" s="560">
        <v>92.712999999999994</v>
      </c>
      <c r="GW66" s="560">
        <v>93.037000000000006</v>
      </c>
      <c r="GX66" s="560">
        <v>109.65300000000001</v>
      </c>
      <c r="GY66" s="560">
        <v>124.33499999999999</v>
      </c>
    </row>
    <row r="67" spans="1:207">
      <c r="A67" s="560" t="s">
        <v>674</v>
      </c>
      <c r="B67" s="560">
        <v>38.1</v>
      </c>
      <c r="C67" s="560">
        <v>38.633333333333297</v>
      </c>
      <c r="D67" s="560">
        <v>39.033333333333303</v>
      </c>
      <c r="E67" s="560">
        <v>39.6</v>
      </c>
      <c r="F67" s="560">
        <v>39.933333333333302</v>
      </c>
      <c r="G67" s="560">
        <v>40.299999999999997</v>
      </c>
      <c r="H67" s="560">
        <v>40.700000000000003</v>
      </c>
      <c r="I67" s="560">
        <v>41</v>
      </c>
      <c r="J67" s="560">
        <v>41.3333333333333</v>
      </c>
      <c r="K67" s="560">
        <v>41.6</v>
      </c>
      <c r="L67" s="560">
        <v>41.933333333333302</v>
      </c>
      <c r="M67" s="560">
        <v>42.366666666666703</v>
      </c>
      <c r="N67" s="560">
        <v>43.033333333333303</v>
      </c>
      <c r="O67" s="560">
        <v>43.933333333333302</v>
      </c>
      <c r="P67" s="560">
        <v>44.8</v>
      </c>
      <c r="Q67" s="560">
        <v>45.933333333333302</v>
      </c>
      <c r="R67" s="560">
        <v>47.3</v>
      </c>
      <c r="S67" s="560">
        <v>48.566666666666698</v>
      </c>
      <c r="T67" s="560">
        <v>49.933333333333302</v>
      </c>
      <c r="U67" s="560">
        <v>51.466666666666697</v>
      </c>
      <c r="V67" s="560">
        <v>52.566666666666698</v>
      </c>
      <c r="W67" s="560">
        <v>53.2</v>
      </c>
      <c r="X67" s="560">
        <v>54.266666666666701</v>
      </c>
      <c r="Y67" s="560">
        <v>55.266666666666701</v>
      </c>
      <c r="Z67" s="560">
        <v>55.9</v>
      </c>
      <c r="AA67" s="560">
        <v>56.4</v>
      </c>
      <c r="AB67" s="560">
        <v>57.3</v>
      </c>
      <c r="AC67" s="560">
        <v>58.133333333333297</v>
      </c>
      <c r="AD67" s="560">
        <v>59.2</v>
      </c>
      <c r="AE67" s="560">
        <v>60.233333333333299</v>
      </c>
      <c r="AF67" s="560">
        <v>61.066666666666698</v>
      </c>
      <c r="AG67" s="560">
        <v>61.966666666666697</v>
      </c>
      <c r="AH67" s="560">
        <v>63.033333333333303</v>
      </c>
      <c r="AI67" s="560">
        <v>64.466666666666697</v>
      </c>
      <c r="AJ67" s="560">
        <v>65.966666666666697</v>
      </c>
      <c r="AK67" s="560">
        <v>67.5</v>
      </c>
      <c r="AL67" s="560">
        <v>69.2</v>
      </c>
      <c r="AM67" s="560">
        <v>71.400000000000006</v>
      </c>
      <c r="AN67" s="560">
        <v>73.7</v>
      </c>
      <c r="AO67" s="560">
        <v>76.033333333333303</v>
      </c>
      <c r="AP67" s="560">
        <v>79.033333333333303</v>
      </c>
      <c r="AQ67" s="560">
        <v>81.7</v>
      </c>
      <c r="AR67" s="560">
        <v>83.233333333333306</v>
      </c>
      <c r="AS67" s="560">
        <v>85.566666666666706</v>
      </c>
      <c r="AT67" s="560">
        <v>87.933333333333294</v>
      </c>
      <c r="AU67" s="560">
        <v>89.766666666666694</v>
      </c>
      <c r="AV67" s="560">
        <v>92.266666666666694</v>
      </c>
      <c r="AW67" s="560">
        <v>93.766666666666694</v>
      </c>
      <c r="AX67" s="560">
        <v>94.6</v>
      </c>
      <c r="AY67" s="560">
        <v>95.966666666666697</v>
      </c>
      <c r="AZ67" s="560">
        <v>97.633333333333297</v>
      </c>
      <c r="BA67" s="560">
        <v>97.933333333333294</v>
      </c>
      <c r="BB67" s="560">
        <v>98</v>
      </c>
      <c r="BC67" s="560">
        <v>99.133333333333297</v>
      </c>
      <c r="BD67" s="560">
        <v>100.1</v>
      </c>
      <c r="BE67" s="560">
        <v>101.1</v>
      </c>
      <c r="BF67" s="560">
        <v>102.533333333333</v>
      </c>
      <c r="BG67" s="560">
        <v>103.5</v>
      </c>
      <c r="BH67" s="560">
        <v>104.4</v>
      </c>
      <c r="BI67" s="560">
        <v>105.3</v>
      </c>
      <c r="BJ67" s="560">
        <v>106.26666666666701</v>
      </c>
      <c r="BK67" s="560">
        <v>107.23333333333299</v>
      </c>
      <c r="BL67" s="560">
        <v>107.9</v>
      </c>
      <c r="BM67" s="560">
        <v>109</v>
      </c>
      <c r="BN67" s="560">
        <v>109.566666666667</v>
      </c>
      <c r="BO67" s="560">
        <v>109.033333333333</v>
      </c>
      <c r="BP67" s="560">
        <v>109.7</v>
      </c>
      <c r="BQ67" s="560">
        <v>110.466666666667</v>
      </c>
      <c r="BR67" s="560">
        <v>111.8</v>
      </c>
      <c r="BS67" s="560">
        <v>113.066666666667</v>
      </c>
      <c r="BT67" s="560">
        <v>114.26666666666701</v>
      </c>
      <c r="BU67" s="560">
        <v>115.333333333333</v>
      </c>
      <c r="BV67" s="560">
        <v>116.23333333333299</v>
      </c>
      <c r="BW67" s="560">
        <v>117.566666666667</v>
      </c>
      <c r="BX67" s="560">
        <v>119</v>
      </c>
      <c r="BY67" s="560">
        <v>120.3</v>
      </c>
      <c r="BZ67" s="560">
        <v>121.666666666667</v>
      </c>
      <c r="CA67" s="560">
        <v>123.633333333333</v>
      </c>
      <c r="CB67" s="560">
        <v>124.6</v>
      </c>
      <c r="CC67" s="560">
        <v>125.866666666667</v>
      </c>
      <c r="CD67" s="560">
        <v>128.03333333333299</v>
      </c>
      <c r="CE67" s="560">
        <v>129.30000000000001</v>
      </c>
      <c r="CF67" s="560">
        <v>131.53333333333299</v>
      </c>
      <c r="CG67" s="560">
        <v>133.76666666666699</v>
      </c>
      <c r="CH67" s="560">
        <v>134.76666666666699</v>
      </c>
      <c r="CI67" s="560">
        <v>135.566666666667</v>
      </c>
      <c r="CJ67" s="560">
        <v>136.6</v>
      </c>
      <c r="CK67" s="560">
        <v>137.73333333333301</v>
      </c>
      <c r="CL67" s="560">
        <v>138.666666666667</v>
      </c>
      <c r="CM67" s="560">
        <v>139.73333333333301</v>
      </c>
      <c r="CN67" s="560">
        <v>140.80000000000001</v>
      </c>
      <c r="CO67" s="560">
        <v>142.03333333333299</v>
      </c>
      <c r="CP67" s="560">
        <v>143.066666666667</v>
      </c>
      <c r="CQ67" s="560">
        <v>144.1</v>
      </c>
      <c r="CR67" s="560">
        <v>144.76666666666699</v>
      </c>
      <c r="CS67" s="560">
        <v>145.96666666666701</v>
      </c>
      <c r="CT67" s="560">
        <v>146.69999999999999</v>
      </c>
      <c r="CU67" s="560">
        <v>147.53333333333299</v>
      </c>
      <c r="CV67" s="560">
        <v>148.9</v>
      </c>
      <c r="CW67" s="560">
        <v>149.76666666666699</v>
      </c>
      <c r="CX67" s="560">
        <v>150.86666666666699</v>
      </c>
      <c r="CY67" s="560">
        <v>152.1</v>
      </c>
      <c r="CZ67" s="560">
        <v>152.86666666666699</v>
      </c>
      <c r="DA67" s="560">
        <v>153.69999999999999</v>
      </c>
      <c r="DB67" s="560">
        <v>155.066666666667</v>
      </c>
      <c r="DC67" s="560">
        <v>156.4</v>
      </c>
      <c r="DD67" s="560">
        <v>157.30000000000001</v>
      </c>
      <c r="DE67" s="560">
        <v>158.666666666667</v>
      </c>
      <c r="DF67" s="560">
        <v>159.63333333333301</v>
      </c>
      <c r="DG67" s="560">
        <v>160</v>
      </c>
      <c r="DH67" s="560">
        <v>160.80000000000001</v>
      </c>
      <c r="DI67" s="560">
        <v>161.666666666667</v>
      </c>
      <c r="DJ67" s="560">
        <v>162</v>
      </c>
      <c r="DK67" s="560">
        <v>162.53333333333299</v>
      </c>
      <c r="DL67" s="560">
        <v>163.36666666666699</v>
      </c>
      <c r="DM67" s="560">
        <v>164.13333333333301</v>
      </c>
      <c r="DN67" s="560">
        <v>164.73333333333301</v>
      </c>
      <c r="DO67" s="560">
        <v>165.96666666666701</v>
      </c>
      <c r="DP67" s="560">
        <v>167.2</v>
      </c>
      <c r="DQ67" s="560">
        <v>168.433333333333</v>
      </c>
      <c r="DR67" s="560">
        <v>170.1</v>
      </c>
      <c r="DS67" s="560">
        <v>171.433333333333</v>
      </c>
      <c r="DT67" s="560">
        <v>173</v>
      </c>
      <c r="DU67" s="560">
        <v>174.23333333333301</v>
      </c>
      <c r="DV67" s="560">
        <v>175.9</v>
      </c>
      <c r="DW67" s="560">
        <v>177.13333333333301</v>
      </c>
      <c r="DX67" s="560">
        <v>177.63333333333301</v>
      </c>
      <c r="DY67" s="560">
        <v>177.5</v>
      </c>
      <c r="DZ67" s="560">
        <v>178.066666666667</v>
      </c>
      <c r="EA67" s="560">
        <v>179.46666666666701</v>
      </c>
      <c r="EB67" s="560">
        <v>180.433333333333</v>
      </c>
      <c r="EC67" s="560">
        <v>181.5</v>
      </c>
      <c r="ED67" s="560">
        <v>183.36666666666699</v>
      </c>
      <c r="EE67" s="560">
        <v>183.066666666667</v>
      </c>
      <c r="EF67" s="560">
        <v>184.433333333333</v>
      </c>
      <c r="EG67" s="560">
        <v>185.13333333333301</v>
      </c>
      <c r="EH67" s="560">
        <v>186.7</v>
      </c>
      <c r="EI67" s="560">
        <v>188.166666666667</v>
      </c>
      <c r="EJ67" s="560">
        <v>189.36666666666699</v>
      </c>
      <c r="EK67" s="560">
        <v>191.4</v>
      </c>
      <c r="EL67" s="560">
        <v>192.36666666666699</v>
      </c>
      <c r="EM67" s="560">
        <v>193.666666666667</v>
      </c>
      <c r="EN67" s="560">
        <v>196.6</v>
      </c>
      <c r="EO67" s="560">
        <v>198.433333333333</v>
      </c>
      <c r="EP67" s="560">
        <v>199.46666666666701</v>
      </c>
      <c r="EQ67" s="560">
        <v>201.26666666666699</v>
      </c>
      <c r="ER67" s="560">
        <v>203.166666666667</v>
      </c>
      <c r="ES67" s="560">
        <v>202.333333333333</v>
      </c>
      <c r="ET67" s="560">
        <v>204.31700000000001</v>
      </c>
      <c r="EU67" s="560">
        <v>206.631</v>
      </c>
      <c r="EV67" s="560">
        <v>207.93899999999999</v>
      </c>
      <c r="EW67" s="560">
        <v>210.48966666666701</v>
      </c>
      <c r="EX67" s="560">
        <v>212.76966666666701</v>
      </c>
      <c r="EY67" s="560">
        <v>215.53766666666701</v>
      </c>
      <c r="EZ67" s="560">
        <v>218.86099999999999</v>
      </c>
      <c r="FA67" s="560">
        <v>213.84866666666699</v>
      </c>
      <c r="FB67" s="560">
        <v>212.37766666666701</v>
      </c>
      <c r="FC67" s="560">
        <v>213.50700000000001</v>
      </c>
      <c r="FD67" s="560">
        <v>215.34399999999999</v>
      </c>
      <c r="FE67" s="560">
        <v>217.03</v>
      </c>
      <c r="FF67" s="560">
        <v>217.374</v>
      </c>
      <c r="FG67" s="560">
        <v>217.297333333333</v>
      </c>
      <c r="FH67" s="560">
        <v>217.934333333333</v>
      </c>
      <c r="FI67" s="560">
        <v>219.69900000000001</v>
      </c>
      <c r="FJ67" s="560">
        <v>222.04366666666701</v>
      </c>
      <c r="FK67" s="560">
        <v>224.56833333333299</v>
      </c>
      <c r="FL67" s="560">
        <v>226.03266666666701</v>
      </c>
      <c r="FM67" s="560">
        <v>227.047333333333</v>
      </c>
      <c r="FN67" s="560">
        <v>228.32599999999999</v>
      </c>
      <c r="FO67" s="560">
        <v>228.80799999999999</v>
      </c>
      <c r="FP67" s="560">
        <v>229.84100000000001</v>
      </c>
      <c r="FQ67" s="560">
        <v>231.369333333333</v>
      </c>
      <c r="FR67" s="560">
        <v>232.29933333333301</v>
      </c>
      <c r="FS67" s="560">
        <v>232.04499999999999</v>
      </c>
      <c r="FT67" s="560">
        <v>233.3</v>
      </c>
      <c r="FU67" s="560">
        <v>234.16266666666701</v>
      </c>
      <c r="FV67" s="560">
        <v>235.62100000000001</v>
      </c>
      <c r="FW67" s="560">
        <v>236.87233333333299</v>
      </c>
      <c r="FX67" s="560">
        <v>237.47833333333301</v>
      </c>
      <c r="FY67" s="560">
        <v>236.88833333333301</v>
      </c>
      <c r="FZ67" s="560">
        <v>235.35499999999999</v>
      </c>
      <c r="GA67" s="560">
        <v>236.96</v>
      </c>
      <c r="GB67" s="560">
        <v>237.85499999999999</v>
      </c>
      <c r="GC67" s="560">
        <v>237.83699999999999</v>
      </c>
      <c r="GD67" s="560">
        <v>237.689333333333</v>
      </c>
      <c r="GE67" s="560">
        <v>239.59033333333301</v>
      </c>
      <c r="GF67" s="560">
        <v>240.607333333333</v>
      </c>
      <c r="GG67" s="560">
        <v>242.13466666666699</v>
      </c>
      <c r="GH67" s="560">
        <v>243.75266666666701</v>
      </c>
      <c r="GI67" s="560">
        <v>244.18700000000001</v>
      </c>
      <c r="GJ67" s="560">
        <v>245.345333333333</v>
      </c>
      <c r="GK67" s="560">
        <v>247.25700000000001</v>
      </c>
      <c r="GL67" s="560">
        <v>249.17933333333301</v>
      </c>
      <c r="GM67" s="560">
        <v>250.737666666667</v>
      </c>
      <c r="GN67" s="560">
        <v>251.75433333333299</v>
      </c>
      <c r="GO67" s="560">
        <v>252.738</v>
      </c>
      <c r="GP67" s="560">
        <v>253.185666666667</v>
      </c>
      <c r="GQ67" s="560">
        <v>255.37333333333299</v>
      </c>
      <c r="GR67" s="560">
        <v>256.191666666667</v>
      </c>
      <c r="GS67" s="560">
        <v>257.85966666666701</v>
      </c>
      <c r="GT67" s="560">
        <v>258.5</v>
      </c>
      <c r="GU67" s="560">
        <v>256.47199999999998</v>
      </c>
      <c r="GV67" s="560">
        <v>259.421333333333</v>
      </c>
      <c r="GW67" s="560">
        <v>260.983</v>
      </c>
      <c r="GX67" s="560">
        <v>263.39499999999998</v>
      </c>
      <c r="GY67" s="560">
        <v>268.78800000000001</v>
      </c>
    </row>
    <row r="68" spans="1:207">
      <c r="A68" s="560" t="s">
        <v>253</v>
      </c>
      <c r="B68" s="560">
        <v>38.299999999999997</v>
      </c>
      <c r="C68" s="560">
        <v>38.8333333333333</v>
      </c>
      <c r="D68" s="560">
        <v>39.233333333333299</v>
      </c>
      <c r="E68" s="560">
        <v>39.799999999999997</v>
      </c>
      <c r="F68" s="560">
        <v>40.1666666666667</v>
      </c>
      <c r="G68" s="560">
        <v>40.533333333333303</v>
      </c>
      <c r="H68" s="560">
        <v>40.966666666666697</v>
      </c>
      <c r="I68" s="560">
        <v>41.233333333333299</v>
      </c>
      <c r="J68" s="560">
        <v>41.6</v>
      </c>
      <c r="K68" s="560">
        <v>41.8</v>
      </c>
      <c r="L68" s="560">
        <v>42.2</v>
      </c>
      <c r="M68" s="560">
        <v>42.633333333333297</v>
      </c>
      <c r="N68" s="560">
        <v>43.266666666666701</v>
      </c>
      <c r="O68" s="560">
        <v>44.1666666666667</v>
      </c>
      <c r="P68" s="560">
        <v>45.066666666666698</v>
      </c>
      <c r="Q68" s="560">
        <v>46.1666666666667</v>
      </c>
      <c r="R68" s="560">
        <v>47.566666666666698</v>
      </c>
      <c r="S68" s="560">
        <v>48.766666666666701</v>
      </c>
      <c r="T68" s="560">
        <v>50.233333333333299</v>
      </c>
      <c r="U68" s="560">
        <v>51.766666666666701</v>
      </c>
      <c r="V68" s="560">
        <v>52.866666666666703</v>
      </c>
      <c r="W68" s="560">
        <v>53.5</v>
      </c>
      <c r="X68" s="560">
        <v>54.566666666666698</v>
      </c>
      <c r="Y68" s="560">
        <v>55.566666666666698</v>
      </c>
      <c r="Z68" s="560">
        <v>56.233333333333299</v>
      </c>
      <c r="AA68" s="560">
        <v>56.733333333333299</v>
      </c>
      <c r="AB68" s="560">
        <v>57.6</v>
      </c>
      <c r="AC68" s="560">
        <v>58.433333333333302</v>
      </c>
      <c r="AD68" s="560">
        <v>59.533333333333303</v>
      </c>
      <c r="AE68" s="560">
        <v>60.6</v>
      </c>
      <c r="AF68" s="560">
        <v>61.433333333333302</v>
      </c>
      <c r="AG68" s="560">
        <v>62.266666666666701</v>
      </c>
      <c r="AH68" s="560">
        <v>63.366666666666703</v>
      </c>
      <c r="AI68" s="560">
        <v>64.766666666666694</v>
      </c>
      <c r="AJ68" s="560">
        <v>66.233333333333306</v>
      </c>
      <c r="AK68" s="560">
        <v>67.8333333333333</v>
      </c>
      <c r="AL68" s="560">
        <v>69.566666666666706</v>
      </c>
      <c r="AM68" s="560">
        <v>71.900000000000006</v>
      </c>
      <c r="AN68" s="560">
        <v>74.233333333333306</v>
      </c>
      <c r="AO68" s="560">
        <v>76.5</v>
      </c>
      <c r="AP68" s="560">
        <v>79.5</v>
      </c>
      <c r="AQ68" s="560">
        <v>82.2</v>
      </c>
      <c r="AR68" s="560">
        <v>83.733333333333306</v>
      </c>
      <c r="AS68" s="560">
        <v>86.1666666666667</v>
      </c>
      <c r="AT68" s="560">
        <v>88.466666666666697</v>
      </c>
      <c r="AU68" s="560">
        <v>90.233333333333306</v>
      </c>
      <c r="AV68" s="560">
        <v>92.733333333333306</v>
      </c>
      <c r="AW68" s="560">
        <v>94.1666666666667</v>
      </c>
      <c r="AX68" s="560">
        <v>94.966666666666697</v>
      </c>
      <c r="AY68" s="560">
        <v>96.233333333333306</v>
      </c>
      <c r="AZ68" s="560">
        <v>98</v>
      </c>
      <c r="BA68" s="560">
        <v>98.3333333333333</v>
      </c>
      <c r="BB68" s="560">
        <v>98.3</v>
      </c>
      <c r="BC68" s="560">
        <v>99.433333333333294</v>
      </c>
      <c r="BD68" s="560">
        <v>100.4</v>
      </c>
      <c r="BE68" s="560">
        <v>101.166666666667</v>
      </c>
      <c r="BF68" s="560">
        <v>101.933333333333</v>
      </c>
      <c r="BG68" s="560">
        <v>102.466666666667</v>
      </c>
      <c r="BH68" s="560">
        <v>103.933333333333</v>
      </c>
      <c r="BI68" s="560">
        <v>104.8</v>
      </c>
      <c r="BJ68" s="560">
        <v>105.666666666667</v>
      </c>
      <c r="BK68" s="560">
        <v>106.633333333333</v>
      </c>
      <c r="BL68" s="560">
        <v>107.133333333333</v>
      </c>
      <c r="BM68" s="560">
        <v>108.2</v>
      </c>
      <c r="BN68" s="560">
        <v>108.666666666667</v>
      </c>
      <c r="BO68" s="560">
        <v>107.933333333333</v>
      </c>
      <c r="BP68" s="560">
        <v>108.5</v>
      </c>
      <c r="BQ68" s="560">
        <v>109.2</v>
      </c>
      <c r="BR68" s="560">
        <v>110.666666666667</v>
      </c>
      <c r="BS68" s="560">
        <v>111.966666666667</v>
      </c>
      <c r="BT68" s="560">
        <v>113.166666666667</v>
      </c>
      <c r="BU68" s="560">
        <v>114.166666666667</v>
      </c>
      <c r="BV68" s="560">
        <v>114.933333333333</v>
      </c>
      <c r="BW68" s="560">
        <v>116.2</v>
      </c>
      <c r="BX68" s="560">
        <v>117.73333333333299</v>
      </c>
      <c r="BY68" s="560">
        <v>118.933333333333</v>
      </c>
      <c r="BZ68" s="560">
        <v>120.366666666667</v>
      </c>
      <c r="CA68" s="560">
        <v>122.4</v>
      </c>
      <c r="CB68" s="560">
        <v>123.26666666666701</v>
      </c>
      <c r="CC68" s="560">
        <v>124.4</v>
      </c>
      <c r="CD68" s="560">
        <v>126.566666666667</v>
      </c>
      <c r="CE68" s="560">
        <v>127.666666666667</v>
      </c>
      <c r="CF68" s="560">
        <v>129.86666666666699</v>
      </c>
      <c r="CG68" s="560">
        <v>132.1</v>
      </c>
      <c r="CH68" s="560">
        <v>132.933333333333</v>
      </c>
      <c r="CI68" s="560">
        <v>133.73333333333301</v>
      </c>
      <c r="CJ68" s="560">
        <v>134.63333333333301</v>
      </c>
      <c r="CK68" s="560">
        <v>135.73333333333301</v>
      </c>
      <c r="CL68" s="560">
        <v>136.53333333333299</v>
      </c>
      <c r="CM68" s="560">
        <v>137.566666666667</v>
      </c>
      <c r="CN68" s="560">
        <v>138.69999999999999</v>
      </c>
      <c r="CO68" s="560">
        <v>139.80000000000001</v>
      </c>
      <c r="CP68" s="560">
        <v>140.76666666666699</v>
      </c>
      <c r="CQ68" s="560">
        <v>141.73333333333301</v>
      </c>
      <c r="CR68" s="560">
        <v>142.333333333333</v>
      </c>
      <c r="CS68" s="560">
        <v>143.433333333333</v>
      </c>
      <c r="CT68" s="560">
        <v>144.03333333333299</v>
      </c>
      <c r="CU68" s="560">
        <v>144.86666666666699</v>
      </c>
      <c r="CV68" s="560">
        <v>146.4</v>
      </c>
      <c r="CW68" s="560">
        <v>147.26666666666699</v>
      </c>
      <c r="CX68" s="560">
        <v>148.333333333333</v>
      </c>
      <c r="CY68" s="560">
        <v>149.5</v>
      </c>
      <c r="CZ68" s="560">
        <v>150.166666666667</v>
      </c>
      <c r="DA68" s="560">
        <v>151</v>
      </c>
      <c r="DB68" s="560">
        <v>152.4</v>
      </c>
      <c r="DC68" s="560">
        <v>153.73333333333301</v>
      </c>
      <c r="DD68" s="560">
        <v>154.566666666667</v>
      </c>
      <c r="DE68" s="560">
        <v>155.86666666666699</v>
      </c>
      <c r="DF68" s="560">
        <v>156.80000000000001</v>
      </c>
      <c r="DG68" s="560">
        <v>157.1</v>
      </c>
      <c r="DH68" s="560">
        <v>157.80000000000001</v>
      </c>
      <c r="DI68" s="560">
        <v>158.53333333333299</v>
      </c>
      <c r="DJ68" s="560">
        <v>158.73333333333301</v>
      </c>
      <c r="DK68" s="560">
        <v>159.19999999999999</v>
      </c>
      <c r="DL68" s="560">
        <v>159.96666666666701</v>
      </c>
      <c r="DM68" s="560">
        <v>160.76666666666699</v>
      </c>
      <c r="DN68" s="560">
        <v>161.36666666666699</v>
      </c>
      <c r="DO68" s="560">
        <v>162.53333333333299</v>
      </c>
      <c r="DP68" s="560">
        <v>163.9</v>
      </c>
      <c r="DQ68" s="560">
        <v>165.2</v>
      </c>
      <c r="DR68" s="560">
        <v>166.833333333333</v>
      </c>
      <c r="DS68" s="560">
        <v>168.166666666667</v>
      </c>
      <c r="DT68" s="560">
        <v>169.7</v>
      </c>
      <c r="DU68" s="560">
        <v>170.833333333333</v>
      </c>
      <c r="DV68" s="560">
        <v>172.433333333333</v>
      </c>
      <c r="DW68" s="560">
        <v>173.73333333333301</v>
      </c>
      <c r="DX68" s="560">
        <v>174.1</v>
      </c>
      <c r="DY68" s="560">
        <v>173.666666666667</v>
      </c>
      <c r="DZ68" s="560">
        <v>174.03333333333299</v>
      </c>
      <c r="EA68" s="560">
        <v>175.53333333333299</v>
      </c>
      <c r="EB68" s="560">
        <v>176.5</v>
      </c>
      <c r="EC68" s="560">
        <v>177.46666666666701</v>
      </c>
      <c r="ED68" s="560">
        <v>179.46666666666701</v>
      </c>
      <c r="EE68" s="560">
        <v>178.933333333333</v>
      </c>
      <c r="EF68" s="560">
        <v>180.2</v>
      </c>
      <c r="EG68" s="560">
        <v>180.73333333333301</v>
      </c>
      <c r="EH68" s="560">
        <v>182.333333333333</v>
      </c>
      <c r="EI68" s="560">
        <v>183.666666666667</v>
      </c>
      <c r="EJ68" s="560">
        <v>184.86666666666699</v>
      </c>
      <c r="EK68" s="560">
        <v>187.066666666667</v>
      </c>
      <c r="EL68" s="560">
        <v>187.933333333333</v>
      </c>
      <c r="EM68" s="560">
        <v>189.23333333333301</v>
      </c>
      <c r="EN68" s="560">
        <v>192.566666666667</v>
      </c>
      <c r="EO68" s="560">
        <v>194.2</v>
      </c>
      <c r="EP68" s="560">
        <v>195.13333333333301</v>
      </c>
      <c r="EQ68" s="560">
        <v>196.933333333333</v>
      </c>
      <c r="ER68" s="560">
        <v>198.8</v>
      </c>
      <c r="ES68" s="560">
        <v>197.566666666667</v>
      </c>
      <c r="ET68" s="560">
        <v>199.553</v>
      </c>
      <c r="EU68" s="560">
        <v>202.077</v>
      </c>
      <c r="EV68" s="560">
        <v>203.37</v>
      </c>
      <c r="EW68" s="560">
        <v>206.08566666666701</v>
      </c>
      <c r="EX68" s="560">
        <v>208.51599999999999</v>
      </c>
      <c r="EY68" s="560">
        <v>211.50266666666701</v>
      </c>
      <c r="EZ68" s="560">
        <v>215.13</v>
      </c>
      <c r="FA68" s="560">
        <v>208.838666666667</v>
      </c>
      <c r="FB68" s="560">
        <v>206.94333333333299</v>
      </c>
      <c r="FC68" s="560">
        <v>208.39033333333299</v>
      </c>
      <c r="FD68" s="560">
        <v>210.69499999999999</v>
      </c>
      <c r="FE68" s="560">
        <v>212.63266666666701</v>
      </c>
      <c r="FF68" s="560">
        <v>213.23699999999999</v>
      </c>
      <c r="FG68" s="560">
        <v>213.15066666666701</v>
      </c>
      <c r="FH68" s="560">
        <v>213.82</v>
      </c>
      <c r="FI68" s="560">
        <v>215.76400000000001</v>
      </c>
      <c r="FJ68" s="560">
        <v>218.41566666666699</v>
      </c>
      <c r="FK68" s="560">
        <v>221.28766666666701</v>
      </c>
      <c r="FL68" s="560">
        <v>222.738</v>
      </c>
      <c r="FM68" s="560">
        <v>223.774666666667</v>
      </c>
      <c r="FN68" s="560">
        <v>225.08733333333299</v>
      </c>
      <c r="FO68" s="560">
        <v>225.45933333333301</v>
      </c>
      <c r="FP68" s="560">
        <v>226.357</v>
      </c>
      <c r="FQ68" s="560">
        <v>227.97166666666701</v>
      </c>
      <c r="FR68" s="560">
        <v>228.83666666666701</v>
      </c>
      <c r="FS68" s="560">
        <v>228.40966666666699</v>
      </c>
      <c r="FT68" s="560">
        <v>229.589</v>
      </c>
      <c r="FU68" s="560">
        <v>230.43366666666699</v>
      </c>
      <c r="FV68" s="560">
        <v>231.95</v>
      </c>
      <c r="FW68" s="560">
        <v>233.101333333333</v>
      </c>
      <c r="FX68" s="560">
        <v>233.494333333333</v>
      </c>
      <c r="FY68" s="560">
        <v>232.43100000000001</v>
      </c>
      <c r="FZ68" s="560">
        <v>230.23666666666699</v>
      </c>
      <c r="GA68" s="560">
        <v>231.957666666667</v>
      </c>
      <c r="GB68" s="560">
        <v>232.69333333333299</v>
      </c>
      <c r="GC68" s="560">
        <v>232.280333333333</v>
      </c>
      <c r="GD68" s="560">
        <v>231.78100000000001</v>
      </c>
      <c r="GE68" s="560">
        <v>233.774</v>
      </c>
      <c r="GF68" s="560">
        <v>234.59666666666701</v>
      </c>
      <c r="GG68" s="560">
        <v>236.14066666666699</v>
      </c>
      <c r="GH68" s="560">
        <v>237.75</v>
      </c>
      <c r="GI68" s="560">
        <v>238.030666666667</v>
      </c>
      <c r="GJ68" s="560">
        <v>239.2</v>
      </c>
      <c r="GK68" s="560">
        <v>241.303666666667</v>
      </c>
      <c r="GL68" s="560">
        <v>243.274333333333</v>
      </c>
      <c r="GM68" s="560">
        <v>244.81299999999999</v>
      </c>
      <c r="GN68" s="560">
        <v>245.79300000000001</v>
      </c>
      <c r="GO68" s="560">
        <v>246.68100000000001</v>
      </c>
      <c r="GP68" s="560">
        <v>246.76499999999999</v>
      </c>
      <c r="GQ68" s="560">
        <v>249.00766666666701</v>
      </c>
      <c r="GR68" s="560">
        <v>249.66499999999999</v>
      </c>
      <c r="GS68" s="560">
        <v>251.42533333333299</v>
      </c>
      <c r="GT68" s="560">
        <v>251.88533333333299</v>
      </c>
      <c r="GU68" s="560">
        <v>249.57599999999999</v>
      </c>
      <c r="GV68" s="560">
        <v>253.01366666666701</v>
      </c>
      <c r="GW68" s="560">
        <v>254.68033333333301</v>
      </c>
      <c r="GX68" s="560">
        <v>257.350666666667</v>
      </c>
      <c r="GY68" s="560">
        <v>263.125333333333</v>
      </c>
    </row>
    <row r="69" spans="1:207">
      <c r="A69" s="560" t="s">
        <v>254</v>
      </c>
      <c r="B69" s="560">
        <v>4942.2</v>
      </c>
      <c r="C69" s="560">
        <v>4983.3999999999996</v>
      </c>
      <c r="D69" s="560">
        <v>5023.3</v>
      </c>
      <c r="E69" s="560">
        <v>5062.2</v>
      </c>
      <c r="F69" s="560">
        <v>5101.1000000000004</v>
      </c>
      <c r="G69" s="560">
        <v>5140.8</v>
      </c>
      <c r="H69" s="560">
        <v>5181</v>
      </c>
      <c r="I69" s="560">
        <v>5221.8999999999996</v>
      </c>
      <c r="J69" s="560">
        <v>5263.6</v>
      </c>
      <c r="K69" s="560">
        <v>5305.9</v>
      </c>
      <c r="L69" s="560">
        <v>5348.8</v>
      </c>
      <c r="M69" s="560">
        <v>5392.4</v>
      </c>
      <c r="N69" s="560">
        <v>5437</v>
      </c>
      <c r="O69" s="560">
        <v>5483.8</v>
      </c>
      <c r="P69" s="560">
        <v>5531.1</v>
      </c>
      <c r="Q69" s="560">
        <v>5579.5</v>
      </c>
      <c r="R69" s="560">
        <v>5628.5</v>
      </c>
      <c r="S69" s="560">
        <v>5677.8</v>
      </c>
      <c r="T69" s="560">
        <v>5726.5</v>
      </c>
      <c r="U69" s="560">
        <v>5774.5</v>
      </c>
      <c r="V69" s="560">
        <v>5821.2</v>
      </c>
      <c r="W69" s="560">
        <v>5866.9</v>
      </c>
      <c r="X69" s="560">
        <v>5912.2</v>
      </c>
      <c r="Y69" s="560">
        <v>5957.5</v>
      </c>
      <c r="Z69" s="560">
        <v>6002.8</v>
      </c>
      <c r="AA69" s="560">
        <v>6048.8</v>
      </c>
      <c r="AB69" s="560">
        <v>6096.3</v>
      </c>
      <c r="AC69" s="560">
        <v>6144.6</v>
      </c>
      <c r="AD69" s="560">
        <v>6194.4</v>
      </c>
      <c r="AE69" s="560">
        <v>6245.4</v>
      </c>
      <c r="AF69" s="560">
        <v>6297.2</v>
      </c>
      <c r="AG69" s="560">
        <v>6350.4</v>
      </c>
      <c r="AH69" s="560">
        <v>6404.9</v>
      </c>
      <c r="AI69" s="560">
        <v>6460.6</v>
      </c>
      <c r="AJ69" s="560">
        <v>6517.8</v>
      </c>
      <c r="AK69" s="560">
        <v>6576</v>
      </c>
      <c r="AL69" s="560">
        <v>6635.8</v>
      </c>
      <c r="AM69" s="560">
        <v>6693.6</v>
      </c>
      <c r="AN69" s="560">
        <v>6748.6</v>
      </c>
      <c r="AO69" s="560">
        <v>6800.1</v>
      </c>
      <c r="AP69" s="560">
        <v>6847.5</v>
      </c>
      <c r="AQ69" s="560">
        <v>6890.1</v>
      </c>
      <c r="AR69" s="560">
        <v>6928.1</v>
      </c>
      <c r="AS69" s="560">
        <v>6968</v>
      </c>
      <c r="AT69" s="560">
        <v>7012.1</v>
      </c>
      <c r="AU69" s="560">
        <v>7059.3</v>
      </c>
      <c r="AV69" s="560">
        <v>7109.1</v>
      </c>
      <c r="AW69" s="560">
        <v>7161.4</v>
      </c>
      <c r="AX69" s="560">
        <v>7215.7</v>
      </c>
      <c r="AY69" s="560">
        <v>7271.2</v>
      </c>
      <c r="AZ69" s="560">
        <v>7327.8</v>
      </c>
      <c r="BA69" s="560">
        <v>7385.4</v>
      </c>
      <c r="BB69" s="560">
        <v>7443</v>
      </c>
      <c r="BC69" s="560">
        <v>7501.9</v>
      </c>
      <c r="BD69" s="560">
        <v>7562.5</v>
      </c>
      <c r="BE69" s="560">
        <v>7625.6</v>
      </c>
      <c r="BF69" s="560">
        <v>7691.2</v>
      </c>
      <c r="BG69" s="560">
        <v>7759.3</v>
      </c>
      <c r="BH69" s="560">
        <v>7829</v>
      </c>
      <c r="BI69" s="560">
        <v>7899.9</v>
      </c>
      <c r="BJ69" s="560">
        <v>7971.2</v>
      </c>
      <c r="BK69" s="560">
        <v>8042.9</v>
      </c>
      <c r="BL69" s="560">
        <v>8114.7</v>
      </c>
      <c r="BM69" s="560">
        <v>8185.9</v>
      </c>
      <c r="BN69" s="560">
        <v>8256.6</v>
      </c>
      <c r="BO69" s="560">
        <v>8326.9</v>
      </c>
      <c r="BP69" s="560">
        <v>8397.1</v>
      </c>
      <c r="BQ69" s="560">
        <v>8467</v>
      </c>
      <c r="BR69" s="560">
        <v>8536.4</v>
      </c>
      <c r="BS69" s="560">
        <v>8605.2000000000007</v>
      </c>
      <c r="BT69" s="560">
        <v>8673.5</v>
      </c>
      <c r="BU69" s="560">
        <v>8741.7999999999993</v>
      </c>
      <c r="BV69" s="560">
        <v>8809.4</v>
      </c>
      <c r="BW69" s="560">
        <v>8877.1</v>
      </c>
      <c r="BX69" s="560">
        <v>8944.4</v>
      </c>
      <c r="BY69" s="560">
        <v>9011.7999999999993</v>
      </c>
      <c r="BZ69" s="560">
        <v>9078.7999999999993</v>
      </c>
      <c r="CA69" s="560">
        <v>9145.6</v>
      </c>
      <c r="CB69" s="560">
        <v>9212.2000000000007</v>
      </c>
      <c r="CC69" s="560">
        <v>9278.6</v>
      </c>
      <c r="CD69" s="560">
        <v>9344.2999999999993</v>
      </c>
      <c r="CE69" s="560">
        <v>9409.5</v>
      </c>
      <c r="CF69" s="560">
        <v>9473.4</v>
      </c>
      <c r="CG69" s="560">
        <v>9535.7999999999993</v>
      </c>
      <c r="CH69" s="560">
        <v>9597.4</v>
      </c>
      <c r="CI69" s="560">
        <v>9657.7999999999993</v>
      </c>
      <c r="CJ69" s="560">
        <v>9717.7000000000007</v>
      </c>
      <c r="CK69" s="560">
        <v>9777.7999999999993</v>
      </c>
      <c r="CL69" s="560">
        <v>9838.1</v>
      </c>
      <c r="CM69" s="560">
        <v>9899.4</v>
      </c>
      <c r="CN69" s="560">
        <v>9962.2000000000007</v>
      </c>
      <c r="CO69" s="560">
        <v>10025.9</v>
      </c>
      <c r="CP69" s="560">
        <v>10090.700000000001</v>
      </c>
      <c r="CQ69" s="560">
        <v>10157</v>
      </c>
      <c r="CR69" s="560">
        <v>10224.299999999999</v>
      </c>
      <c r="CS69" s="560">
        <v>10292.6</v>
      </c>
      <c r="CT69" s="560">
        <v>10361.5</v>
      </c>
      <c r="CU69" s="560">
        <v>10431</v>
      </c>
      <c r="CV69" s="560">
        <v>10501.8</v>
      </c>
      <c r="CW69" s="560">
        <v>10573.4</v>
      </c>
      <c r="CX69" s="560">
        <v>10645.6</v>
      </c>
      <c r="CY69" s="560">
        <v>10718.7</v>
      </c>
      <c r="CZ69" s="560">
        <v>10792.5</v>
      </c>
      <c r="DA69" s="560">
        <v>10868</v>
      </c>
      <c r="DB69" s="560">
        <v>10944.9</v>
      </c>
      <c r="DC69" s="560">
        <v>11026.5</v>
      </c>
      <c r="DD69" s="560">
        <v>11113.8</v>
      </c>
      <c r="DE69" s="560">
        <v>11206.7</v>
      </c>
      <c r="DF69" s="560">
        <v>11304.9</v>
      </c>
      <c r="DG69" s="560">
        <v>11407.8</v>
      </c>
      <c r="DH69" s="560">
        <v>11515.8</v>
      </c>
      <c r="DI69" s="560">
        <v>11627.7</v>
      </c>
      <c r="DJ69" s="560">
        <v>11743.2</v>
      </c>
      <c r="DK69" s="560">
        <v>11862.3</v>
      </c>
      <c r="DL69" s="560">
        <v>11983.8</v>
      </c>
      <c r="DM69" s="560">
        <v>12107.5</v>
      </c>
      <c r="DN69" s="560">
        <v>12233.9</v>
      </c>
      <c r="DO69" s="560">
        <v>12361.8</v>
      </c>
      <c r="DP69" s="560">
        <v>12491.8</v>
      </c>
      <c r="DQ69" s="560">
        <v>12624</v>
      </c>
      <c r="DR69" s="560">
        <v>12757.5</v>
      </c>
      <c r="DS69" s="560">
        <v>12888.3</v>
      </c>
      <c r="DT69" s="560">
        <v>13014.4</v>
      </c>
      <c r="DU69" s="560">
        <v>13134.8</v>
      </c>
      <c r="DV69" s="560">
        <v>13249.5</v>
      </c>
      <c r="DW69" s="560">
        <v>13358.1</v>
      </c>
      <c r="DX69" s="560">
        <v>13461</v>
      </c>
      <c r="DY69" s="560">
        <v>13558.2</v>
      </c>
      <c r="DZ69" s="560">
        <v>13650.7</v>
      </c>
      <c r="EA69" s="560">
        <v>13739.9</v>
      </c>
      <c r="EB69" s="560">
        <v>13826.9</v>
      </c>
      <c r="EC69" s="560">
        <v>13912.8</v>
      </c>
      <c r="ED69" s="560">
        <v>13998.3</v>
      </c>
      <c r="EE69" s="560">
        <v>14084.6</v>
      </c>
      <c r="EF69" s="560">
        <v>14171.3</v>
      </c>
      <c r="EG69" s="560">
        <v>14259.3</v>
      </c>
      <c r="EH69" s="560">
        <v>14349.4</v>
      </c>
      <c r="EI69" s="560">
        <v>14441.3</v>
      </c>
      <c r="EJ69" s="560">
        <v>14535.5</v>
      </c>
      <c r="EK69" s="560">
        <v>14631.1</v>
      </c>
      <c r="EL69" s="560">
        <v>14725.1</v>
      </c>
      <c r="EM69" s="560">
        <v>14816.5</v>
      </c>
      <c r="EN69" s="560">
        <v>14906.4</v>
      </c>
      <c r="EO69" s="560">
        <v>14994.3</v>
      </c>
      <c r="EP69" s="560">
        <v>15079.8</v>
      </c>
      <c r="EQ69" s="560">
        <v>15163.2</v>
      </c>
      <c r="ER69" s="560">
        <v>15243</v>
      </c>
      <c r="ES69" s="560">
        <v>15319</v>
      </c>
      <c r="ET69" s="560">
        <v>15394.6</v>
      </c>
      <c r="EU69" s="560">
        <v>15470.2</v>
      </c>
      <c r="EV69" s="560">
        <v>15546.4</v>
      </c>
      <c r="EW69" s="560">
        <v>15622</v>
      </c>
      <c r="EX69" s="560">
        <v>15696.8</v>
      </c>
      <c r="EY69" s="560">
        <v>15769.3</v>
      </c>
      <c r="EZ69" s="560">
        <v>15838.1</v>
      </c>
      <c r="FA69" s="560">
        <v>15903</v>
      </c>
      <c r="FB69" s="560">
        <v>15962.6</v>
      </c>
      <c r="FC69" s="560">
        <v>16018.4</v>
      </c>
      <c r="FD69" s="560">
        <v>16070.9</v>
      </c>
      <c r="FE69" s="560">
        <v>16122.2</v>
      </c>
      <c r="FF69" s="560">
        <v>16173.8</v>
      </c>
      <c r="FG69" s="560">
        <v>16227.2</v>
      </c>
      <c r="FH69" s="560">
        <v>16283.3</v>
      </c>
      <c r="FI69" s="560">
        <v>16341.6</v>
      </c>
      <c r="FJ69" s="560">
        <v>16402.400000000001</v>
      </c>
      <c r="FK69" s="560">
        <v>16465.5</v>
      </c>
      <c r="FL69" s="560">
        <v>16531</v>
      </c>
      <c r="FM69" s="560">
        <v>16598.2</v>
      </c>
      <c r="FN69" s="560">
        <v>16667</v>
      </c>
      <c r="FO69" s="560">
        <v>16737.8</v>
      </c>
      <c r="FP69" s="560">
        <v>16810.099999999999</v>
      </c>
      <c r="FQ69" s="560">
        <v>16883.7</v>
      </c>
      <c r="FR69" s="560">
        <v>16958.3</v>
      </c>
      <c r="FS69" s="560">
        <v>17034.099999999999</v>
      </c>
      <c r="FT69" s="560">
        <v>17110.5</v>
      </c>
      <c r="FU69" s="560">
        <v>17187.900000000001</v>
      </c>
      <c r="FV69" s="560">
        <v>17266.3</v>
      </c>
      <c r="FW69" s="560">
        <v>17345.599999999999</v>
      </c>
      <c r="FX69" s="560">
        <v>17426.099999999999</v>
      </c>
      <c r="FY69" s="560">
        <v>17507.2</v>
      </c>
      <c r="FZ69" s="560">
        <v>17588.400000000001</v>
      </c>
      <c r="GA69" s="560">
        <v>17669.599999999999</v>
      </c>
      <c r="GB69" s="560">
        <v>17750</v>
      </c>
      <c r="GC69" s="560">
        <v>17829</v>
      </c>
      <c r="GD69" s="560">
        <v>17906.900000000001</v>
      </c>
      <c r="GE69" s="560">
        <v>17983.7</v>
      </c>
      <c r="GF69" s="560">
        <v>18059.3</v>
      </c>
      <c r="GG69" s="560">
        <v>18134.2</v>
      </c>
      <c r="GH69" s="560">
        <v>18209.5</v>
      </c>
      <c r="GI69" s="560">
        <v>18284.5</v>
      </c>
      <c r="GJ69" s="560">
        <v>18362.099999999999</v>
      </c>
      <c r="GK69" s="560">
        <v>18441.599999999999</v>
      </c>
      <c r="GL69" s="560">
        <v>18523.900000000001</v>
      </c>
      <c r="GM69" s="560">
        <v>18609.599999999999</v>
      </c>
      <c r="GN69" s="560">
        <v>18698.099999999999</v>
      </c>
      <c r="GO69" s="560">
        <v>18787.900000000001</v>
      </c>
      <c r="GP69" s="560">
        <v>18879</v>
      </c>
      <c r="GQ69" s="560">
        <v>18971.400000000001</v>
      </c>
      <c r="GR69" s="560">
        <v>19064.099999999999</v>
      </c>
      <c r="GS69" s="560">
        <v>19157.099999999999</v>
      </c>
      <c r="GT69" s="560">
        <v>19250.2</v>
      </c>
      <c r="GU69" s="560">
        <v>19340.2</v>
      </c>
      <c r="GV69" s="560">
        <v>19424.2</v>
      </c>
      <c r="GW69" s="560">
        <v>19512</v>
      </c>
      <c r="GX69" s="560">
        <v>19602.5</v>
      </c>
      <c r="GY69" s="560">
        <v>19697.400000000001</v>
      </c>
    </row>
    <row r="70" spans="1:207">
      <c r="A70" s="560" t="s">
        <v>255</v>
      </c>
      <c r="B70" s="560">
        <v>1052.4000000000001</v>
      </c>
      <c r="C70" s="560">
        <v>1076</v>
      </c>
      <c r="D70" s="560">
        <v>1093.5</v>
      </c>
      <c r="E70" s="560">
        <v>1116.5</v>
      </c>
      <c r="F70" s="560">
        <v>1142.2</v>
      </c>
      <c r="G70" s="560">
        <v>1166.2</v>
      </c>
      <c r="H70" s="560">
        <v>1187.3</v>
      </c>
      <c r="I70" s="560">
        <v>1206.5999999999999</v>
      </c>
      <c r="J70" s="560">
        <v>1234.7</v>
      </c>
      <c r="K70" s="560">
        <v>1252.4000000000001</v>
      </c>
      <c r="L70" s="560">
        <v>1274.7</v>
      </c>
      <c r="M70" s="560">
        <v>1301.4000000000001</v>
      </c>
      <c r="N70" s="560">
        <v>1327.3</v>
      </c>
      <c r="O70" s="560">
        <v>1359.3</v>
      </c>
      <c r="P70" s="560">
        <v>1397.7</v>
      </c>
      <c r="Q70" s="560">
        <v>1438</v>
      </c>
      <c r="R70" s="560">
        <v>1478</v>
      </c>
      <c r="S70" s="560">
        <v>1526.2</v>
      </c>
      <c r="T70" s="560">
        <v>1584.4</v>
      </c>
      <c r="U70" s="560">
        <v>1644.7</v>
      </c>
      <c r="V70" s="560">
        <v>1695.6</v>
      </c>
      <c r="W70" s="560">
        <v>1734.4</v>
      </c>
      <c r="X70" s="560">
        <v>1778.6</v>
      </c>
      <c r="Y70" s="560">
        <v>1822.2</v>
      </c>
      <c r="Z70" s="560">
        <v>1855.5</v>
      </c>
      <c r="AA70" s="560">
        <v>1888.6</v>
      </c>
      <c r="AB70" s="560">
        <v>1928</v>
      </c>
      <c r="AC70" s="560">
        <v>1978.1</v>
      </c>
      <c r="AD70" s="560">
        <v>2026.2</v>
      </c>
      <c r="AE70" s="560">
        <v>2071.6999999999998</v>
      </c>
      <c r="AF70" s="560">
        <v>2114.4</v>
      </c>
      <c r="AG70" s="560">
        <v>2178.3000000000002</v>
      </c>
      <c r="AH70" s="560">
        <v>2229</v>
      </c>
      <c r="AI70" s="560">
        <v>2291.1999999999998</v>
      </c>
      <c r="AJ70" s="560">
        <v>2350.9</v>
      </c>
      <c r="AK70" s="560">
        <v>2420.3000000000002</v>
      </c>
      <c r="AL70" s="560">
        <v>2486.9</v>
      </c>
      <c r="AM70" s="560">
        <v>2569.9</v>
      </c>
      <c r="AN70" s="560">
        <v>2647.7</v>
      </c>
      <c r="AO70" s="560">
        <v>2717.5</v>
      </c>
      <c r="AP70" s="560">
        <v>2793.8</v>
      </c>
      <c r="AQ70" s="560">
        <v>2878.2</v>
      </c>
      <c r="AR70" s="560">
        <v>2958.7</v>
      </c>
      <c r="AS70" s="560">
        <v>3053.3</v>
      </c>
      <c r="AT70" s="560">
        <v>3153.5</v>
      </c>
      <c r="AU70" s="560">
        <v>3237.6</v>
      </c>
      <c r="AV70" s="560">
        <v>3321.8</v>
      </c>
      <c r="AW70" s="560">
        <v>3404.1</v>
      </c>
      <c r="AX70" s="560">
        <v>3477.1</v>
      </c>
      <c r="AY70" s="560">
        <v>3549.4</v>
      </c>
      <c r="AZ70" s="560">
        <v>3627.7</v>
      </c>
      <c r="BA70" s="560">
        <v>3694.2</v>
      </c>
      <c r="BB70" s="560">
        <v>3751</v>
      </c>
      <c r="BC70" s="560">
        <v>3808.7</v>
      </c>
      <c r="BD70" s="560">
        <v>3880.4</v>
      </c>
      <c r="BE70" s="560">
        <v>3942.4</v>
      </c>
      <c r="BF70" s="560">
        <v>4016.6</v>
      </c>
      <c r="BG70" s="560">
        <v>4086.8</v>
      </c>
      <c r="BH70" s="560">
        <v>4160.2</v>
      </c>
      <c r="BI70" s="560">
        <v>4229.3</v>
      </c>
      <c r="BJ70" s="560">
        <v>4309.7</v>
      </c>
      <c r="BK70" s="560">
        <v>4376.3999999999996</v>
      </c>
      <c r="BL70" s="560">
        <v>4442.1000000000004</v>
      </c>
      <c r="BM70" s="560">
        <v>4506.1000000000004</v>
      </c>
      <c r="BN70" s="560">
        <v>4567.6000000000004</v>
      </c>
      <c r="BO70" s="560">
        <v>4623.8999999999996</v>
      </c>
      <c r="BP70" s="560">
        <v>4682.1000000000004</v>
      </c>
      <c r="BQ70" s="560">
        <v>4746.7</v>
      </c>
      <c r="BR70" s="560">
        <v>4816.1000000000004</v>
      </c>
      <c r="BS70" s="560">
        <v>4888.5</v>
      </c>
      <c r="BT70" s="560">
        <v>4964.7</v>
      </c>
      <c r="BU70" s="560">
        <v>5043.5</v>
      </c>
      <c r="BV70" s="560">
        <v>5122.5</v>
      </c>
      <c r="BW70" s="560">
        <v>5212</v>
      </c>
      <c r="BX70" s="560">
        <v>5314.3</v>
      </c>
      <c r="BY70" s="560">
        <v>5400.6</v>
      </c>
      <c r="BZ70" s="560">
        <v>5497.5</v>
      </c>
      <c r="CA70" s="560">
        <v>5597</v>
      </c>
      <c r="CB70" s="560">
        <v>5678.9</v>
      </c>
      <c r="CC70" s="560">
        <v>5760.6</v>
      </c>
      <c r="CD70" s="560">
        <v>5863.9</v>
      </c>
      <c r="CE70" s="560">
        <v>5970.9</v>
      </c>
      <c r="CF70" s="560">
        <v>6063</v>
      </c>
      <c r="CG70" s="560">
        <v>6148.4</v>
      </c>
      <c r="CH70" s="560">
        <v>6248.7</v>
      </c>
      <c r="CI70" s="560">
        <v>6334.3</v>
      </c>
      <c r="CJ70" s="560">
        <v>6423.3</v>
      </c>
      <c r="CK70" s="560">
        <v>6501.3</v>
      </c>
      <c r="CL70" s="560">
        <v>6565.9</v>
      </c>
      <c r="CM70" s="560">
        <v>6646.5</v>
      </c>
      <c r="CN70" s="560">
        <v>6721.3</v>
      </c>
      <c r="CO70" s="560">
        <v>6810.8</v>
      </c>
      <c r="CP70" s="560">
        <v>6893.2</v>
      </c>
      <c r="CQ70" s="560">
        <v>6979.8</v>
      </c>
      <c r="CR70" s="560">
        <v>7067.8</v>
      </c>
      <c r="CS70" s="560">
        <v>7153.8</v>
      </c>
      <c r="CT70" s="560">
        <v>7236.2</v>
      </c>
      <c r="CU70" s="560">
        <v>7319.9</v>
      </c>
      <c r="CV70" s="560">
        <v>7411.8</v>
      </c>
      <c r="CW70" s="560">
        <v>7502.9</v>
      </c>
      <c r="CX70" s="560">
        <v>7595.1</v>
      </c>
      <c r="CY70" s="560">
        <v>7684</v>
      </c>
      <c r="CZ70" s="560">
        <v>7774.9</v>
      </c>
      <c r="DA70" s="560">
        <v>7867.1</v>
      </c>
      <c r="DB70" s="560">
        <v>7960.9</v>
      </c>
      <c r="DC70" s="560">
        <v>8053.4</v>
      </c>
      <c r="DD70" s="560">
        <v>8143.7</v>
      </c>
      <c r="DE70" s="560">
        <v>8255.7000000000007</v>
      </c>
      <c r="DF70" s="560">
        <v>8377.7000000000007</v>
      </c>
      <c r="DG70" s="560">
        <v>8471.1</v>
      </c>
      <c r="DH70" s="560">
        <v>8588.4</v>
      </c>
      <c r="DI70" s="560">
        <v>8700.2999999999993</v>
      </c>
      <c r="DJ70" s="560">
        <v>8799.6</v>
      </c>
      <c r="DK70" s="560">
        <v>8909.7999999999993</v>
      </c>
      <c r="DL70" s="560">
        <v>9039.7999999999993</v>
      </c>
      <c r="DM70" s="560">
        <v>9158.2000000000007</v>
      </c>
      <c r="DN70" s="560">
        <v>9288.7000000000007</v>
      </c>
      <c r="DO70" s="560">
        <v>9419.9</v>
      </c>
      <c r="DP70" s="560">
        <v>9551.5</v>
      </c>
      <c r="DQ70" s="560">
        <v>9704.5</v>
      </c>
      <c r="DR70" s="560">
        <v>9873.9</v>
      </c>
      <c r="DS70" s="560">
        <v>10035.5</v>
      </c>
      <c r="DT70" s="560">
        <v>10191.4</v>
      </c>
      <c r="DU70" s="560">
        <v>10340</v>
      </c>
      <c r="DV70" s="560">
        <v>10494.1</v>
      </c>
      <c r="DW70" s="560">
        <v>10644.1</v>
      </c>
      <c r="DX70" s="560">
        <v>10769.2</v>
      </c>
      <c r="DY70" s="560">
        <v>10882.9</v>
      </c>
      <c r="DZ70" s="560">
        <v>10993.3</v>
      </c>
      <c r="EA70" s="560">
        <v>11104.7</v>
      </c>
      <c r="EB70" s="560">
        <v>11226.6</v>
      </c>
      <c r="EC70" s="560">
        <v>11360.4</v>
      </c>
      <c r="ED70" s="560">
        <v>11482</v>
      </c>
      <c r="EE70" s="560">
        <v>11586.9</v>
      </c>
      <c r="EF70" s="560">
        <v>11721.3</v>
      </c>
      <c r="EG70" s="560">
        <v>11863.9</v>
      </c>
      <c r="EH70" s="560">
        <v>12027.7</v>
      </c>
      <c r="EI70" s="560">
        <v>12203.5</v>
      </c>
      <c r="EJ70" s="560">
        <v>12363.2</v>
      </c>
      <c r="EK70" s="560">
        <v>12540.5</v>
      </c>
      <c r="EL70" s="560">
        <v>12721.1</v>
      </c>
      <c r="EM70" s="560">
        <v>12889.7</v>
      </c>
      <c r="EN70" s="560">
        <v>13085.3</v>
      </c>
      <c r="EO70" s="560">
        <v>13268.4</v>
      </c>
      <c r="EP70" s="560">
        <v>13437.1</v>
      </c>
      <c r="EQ70" s="560">
        <v>13624.5</v>
      </c>
      <c r="ER70" s="560">
        <v>13792</v>
      </c>
      <c r="ES70" s="560">
        <v>13912</v>
      </c>
      <c r="ET70" s="560">
        <v>14118.1</v>
      </c>
      <c r="EU70" s="560">
        <v>14279.2</v>
      </c>
      <c r="EV70" s="560">
        <v>14423.4</v>
      </c>
      <c r="EW70" s="560">
        <v>14551.1</v>
      </c>
      <c r="EX70" s="560">
        <v>14674.8</v>
      </c>
      <c r="EY70" s="560">
        <v>14821.6</v>
      </c>
      <c r="EZ70" s="560">
        <v>14997.2</v>
      </c>
      <c r="FA70" s="560">
        <v>15105.6</v>
      </c>
      <c r="FB70" s="560">
        <v>15160.7</v>
      </c>
      <c r="FC70" s="560">
        <v>15191.5</v>
      </c>
      <c r="FD70" s="560">
        <v>15257.4</v>
      </c>
      <c r="FE70" s="560">
        <v>15357.7</v>
      </c>
      <c r="FF70" s="560">
        <v>15446</v>
      </c>
      <c r="FG70" s="560">
        <v>15568.9</v>
      </c>
      <c r="FH70" s="560">
        <v>15668.1</v>
      </c>
      <c r="FI70" s="560">
        <v>15812.7</v>
      </c>
      <c r="FJ70" s="560">
        <v>15956.6</v>
      </c>
      <c r="FK70" s="560">
        <v>16123.3</v>
      </c>
      <c r="FL70" s="560">
        <v>16291.9</v>
      </c>
      <c r="FM70" s="560">
        <v>16382.9</v>
      </c>
      <c r="FN70" s="560">
        <v>16553.8</v>
      </c>
      <c r="FO70" s="560">
        <v>16689.8</v>
      </c>
      <c r="FP70" s="560">
        <v>16848</v>
      </c>
      <c r="FQ70" s="560">
        <v>17008.2</v>
      </c>
      <c r="FR70" s="560">
        <v>17151.400000000001</v>
      </c>
      <c r="FS70" s="560">
        <v>17277.8</v>
      </c>
      <c r="FT70" s="560">
        <v>17438.5</v>
      </c>
      <c r="FU70" s="560">
        <v>17620.599999999999</v>
      </c>
      <c r="FV70" s="560">
        <v>17773.5</v>
      </c>
      <c r="FW70" s="560">
        <v>17954.7</v>
      </c>
      <c r="FX70" s="560">
        <v>18115.7</v>
      </c>
      <c r="FY70" s="560">
        <v>18229.099999999999</v>
      </c>
      <c r="FZ70" s="560">
        <v>18297.400000000001</v>
      </c>
      <c r="GA70" s="560">
        <v>18481.8</v>
      </c>
      <c r="GB70" s="560">
        <v>18624.400000000001</v>
      </c>
      <c r="GC70" s="560">
        <v>18709.3</v>
      </c>
      <c r="GD70" s="560">
        <v>18778</v>
      </c>
      <c r="GE70" s="560">
        <v>18989.400000000001</v>
      </c>
      <c r="GF70" s="560">
        <v>19133.900000000001</v>
      </c>
      <c r="GG70" s="560">
        <v>19307.3</v>
      </c>
      <c r="GH70" s="560">
        <v>19485.900000000001</v>
      </c>
      <c r="GI70" s="560">
        <v>19626.5</v>
      </c>
      <c r="GJ70" s="560">
        <v>19807.599999999999</v>
      </c>
      <c r="GK70" s="560">
        <v>20027.3</v>
      </c>
      <c r="GL70" s="560">
        <v>20235</v>
      </c>
      <c r="GM70" s="560">
        <v>20503.3</v>
      </c>
      <c r="GN70" s="560">
        <v>20682.7</v>
      </c>
      <c r="GO70" s="560">
        <v>20881.099999999999</v>
      </c>
      <c r="GP70" s="560">
        <v>21035.8</v>
      </c>
      <c r="GQ70" s="560">
        <v>21274.7</v>
      </c>
      <c r="GR70" s="560">
        <v>21452.9</v>
      </c>
      <c r="GS70" s="560">
        <v>21638</v>
      </c>
      <c r="GT70" s="560">
        <v>21832.6</v>
      </c>
      <c r="GU70" s="560">
        <v>21819</v>
      </c>
      <c r="GV70" s="560">
        <v>22112.5</v>
      </c>
      <c r="GW70" s="560">
        <v>22315.4</v>
      </c>
      <c r="GX70" s="560">
        <v>22645</v>
      </c>
      <c r="GY70" s="560">
        <v>22983.3</v>
      </c>
    </row>
    <row r="71" spans="1:207">
      <c r="A71" s="560" t="s">
        <v>256</v>
      </c>
      <c r="B71" s="560">
        <v>1</v>
      </c>
      <c r="C71" s="560">
        <v>1</v>
      </c>
      <c r="D71" s="560">
        <v>1</v>
      </c>
      <c r="E71" s="560">
        <v>1</v>
      </c>
      <c r="F71" s="560">
        <v>-1</v>
      </c>
      <c r="G71" s="560">
        <v>-1</v>
      </c>
      <c r="H71" s="560">
        <v>-1</v>
      </c>
      <c r="I71" s="560">
        <v>-1</v>
      </c>
      <c r="J71" s="560">
        <v>-1</v>
      </c>
      <c r="K71" s="560">
        <v>-1</v>
      </c>
      <c r="L71" s="560">
        <v>-1</v>
      </c>
      <c r="M71" s="560">
        <v>-1</v>
      </c>
      <c r="N71" s="560">
        <v>-1</v>
      </c>
      <c r="O71" s="560">
        <v>-1</v>
      </c>
      <c r="P71" s="560">
        <v>-1</v>
      </c>
      <c r="Q71" s="560">
        <v>1</v>
      </c>
      <c r="R71" s="560">
        <v>1</v>
      </c>
      <c r="S71" s="560">
        <v>1</v>
      </c>
      <c r="T71" s="560">
        <v>1</v>
      </c>
      <c r="U71" s="560">
        <v>1</v>
      </c>
      <c r="V71" s="560">
        <v>1</v>
      </c>
      <c r="W71" s="560">
        <v>-1</v>
      </c>
      <c r="X71" s="560">
        <v>-1</v>
      </c>
      <c r="Y71" s="560">
        <v>-1</v>
      </c>
      <c r="Z71" s="560">
        <v>-1</v>
      </c>
      <c r="AA71" s="560">
        <v>-1</v>
      </c>
      <c r="AB71" s="560">
        <v>-1</v>
      </c>
      <c r="AC71" s="560">
        <v>-1</v>
      </c>
      <c r="AD71" s="560">
        <v>-1</v>
      </c>
      <c r="AE71" s="560">
        <v>-1</v>
      </c>
      <c r="AF71" s="560">
        <v>-1</v>
      </c>
      <c r="AG71" s="560">
        <v>-1</v>
      </c>
      <c r="AH71" s="560">
        <v>-1</v>
      </c>
      <c r="AI71" s="560">
        <v>-1</v>
      </c>
      <c r="AJ71" s="560">
        <v>-1</v>
      </c>
      <c r="AK71" s="560">
        <v>-1</v>
      </c>
      <c r="AL71" s="560">
        <v>-1</v>
      </c>
      <c r="AM71" s="560">
        <v>-1</v>
      </c>
      <c r="AN71" s="560">
        <v>-1</v>
      </c>
      <c r="AO71" s="560">
        <v>-1</v>
      </c>
      <c r="AP71" s="560">
        <v>1</v>
      </c>
      <c r="AQ71" s="560">
        <v>1</v>
      </c>
      <c r="AR71" s="560">
        <v>1</v>
      </c>
      <c r="AS71" s="560">
        <v>-1</v>
      </c>
      <c r="AT71" s="560">
        <v>-1</v>
      </c>
      <c r="AU71" s="560">
        <v>-1</v>
      </c>
      <c r="AV71" s="560">
        <v>1</v>
      </c>
      <c r="AW71" s="560">
        <v>1</v>
      </c>
      <c r="AX71" s="560">
        <v>1</v>
      </c>
      <c r="AY71" s="560">
        <v>1</v>
      </c>
      <c r="AZ71" s="560">
        <v>1</v>
      </c>
      <c r="BA71" s="560">
        <v>1</v>
      </c>
      <c r="BB71" s="560">
        <v>-1</v>
      </c>
      <c r="BC71" s="560">
        <v>-1</v>
      </c>
      <c r="BD71" s="560">
        <v>-1</v>
      </c>
      <c r="BE71" s="560">
        <v>-1</v>
      </c>
      <c r="BF71" s="560">
        <v>-1</v>
      </c>
      <c r="BG71" s="560">
        <v>-1</v>
      </c>
      <c r="BH71" s="560">
        <v>-1</v>
      </c>
      <c r="BI71" s="560">
        <v>-1</v>
      </c>
      <c r="BJ71" s="560">
        <v>-1</v>
      </c>
      <c r="BK71" s="560">
        <v>-1</v>
      </c>
      <c r="BL71" s="560">
        <v>-1</v>
      </c>
      <c r="BM71" s="560">
        <v>-1</v>
      </c>
      <c r="BN71" s="560">
        <v>-1</v>
      </c>
      <c r="BO71" s="560">
        <v>-1</v>
      </c>
      <c r="BP71" s="560">
        <v>-1</v>
      </c>
      <c r="BQ71" s="560">
        <v>-1</v>
      </c>
      <c r="BR71" s="560">
        <v>-1</v>
      </c>
      <c r="BS71" s="560">
        <v>-1</v>
      </c>
      <c r="BT71" s="560">
        <v>-1</v>
      </c>
      <c r="BU71" s="560">
        <v>-1</v>
      </c>
      <c r="BV71" s="560">
        <v>-1</v>
      </c>
      <c r="BW71" s="560">
        <v>-1</v>
      </c>
      <c r="BX71" s="560">
        <v>-1</v>
      </c>
      <c r="BY71" s="560">
        <v>-1</v>
      </c>
      <c r="BZ71" s="560">
        <v>-1</v>
      </c>
      <c r="CA71" s="560">
        <v>-1</v>
      </c>
      <c r="CB71" s="560">
        <v>-1</v>
      </c>
      <c r="CC71" s="560">
        <v>-1</v>
      </c>
      <c r="CD71" s="560">
        <v>-1</v>
      </c>
      <c r="CE71" s="560">
        <v>-1</v>
      </c>
      <c r="CF71" s="560">
        <v>1</v>
      </c>
      <c r="CG71" s="560">
        <v>1</v>
      </c>
      <c r="CH71" s="560">
        <v>1</v>
      </c>
      <c r="CI71" s="560">
        <v>-1</v>
      </c>
      <c r="CJ71" s="560">
        <v>-1</v>
      </c>
      <c r="CK71" s="560">
        <v>-1</v>
      </c>
      <c r="CL71" s="560">
        <v>-1</v>
      </c>
      <c r="CM71" s="560">
        <v>-1</v>
      </c>
      <c r="CN71" s="560">
        <v>-1</v>
      </c>
      <c r="CO71" s="560">
        <v>-1</v>
      </c>
      <c r="CP71" s="560">
        <v>-1</v>
      </c>
      <c r="CQ71" s="560">
        <v>-1</v>
      </c>
      <c r="CR71" s="560">
        <v>-1</v>
      </c>
      <c r="CS71" s="560">
        <v>-1</v>
      </c>
      <c r="CT71" s="560">
        <v>-1</v>
      </c>
      <c r="CU71" s="560">
        <v>-1</v>
      </c>
      <c r="CV71" s="560">
        <v>-1</v>
      </c>
      <c r="CW71" s="560">
        <v>-1</v>
      </c>
      <c r="CX71" s="560">
        <v>-1</v>
      </c>
      <c r="CY71" s="560">
        <v>-1</v>
      </c>
      <c r="CZ71" s="560">
        <v>-1</v>
      </c>
      <c r="DA71" s="560">
        <v>-1</v>
      </c>
      <c r="DB71" s="560">
        <v>-1</v>
      </c>
      <c r="DC71" s="560">
        <v>-1</v>
      </c>
      <c r="DD71" s="560">
        <v>-1</v>
      </c>
      <c r="DE71" s="560">
        <v>-1</v>
      </c>
      <c r="DF71" s="560">
        <v>-1</v>
      </c>
      <c r="DG71" s="560">
        <v>-1</v>
      </c>
      <c r="DH71" s="560">
        <v>-1</v>
      </c>
      <c r="DI71" s="560">
        <v>-1</v>
      </c>
      <c r="DJ71" s="560">
        <v>-1</v>
      </c>
      <c r="DK71" s="560">
        <v>-1</v>
      </c>
      <c r="DL71" s="560">
        <v>-1</v>
      </c>
      <c r="DM71" s="560">
        <v>-1</v>
      </c>
      <c r="DN71" s="560">
        <v>-1</v>
      </c>
      <c r="DO71" s="560">
        <v>-1</v>
      </c>
      <c r="DP71" s="560">
        <v>-1</v>
      </c>
      <c r="DQ71" s="560">
        <v>-1</v>
      </c>
      <c r="DR71" s="560">
        <v>-1</v>
      </c>
      <c r="DS71" s="560">
        <v>-1</v>
      </c>
      <c r="DT71" s="560">
        <v>-1</v>
      </c>
      <c r="DU71" s="560">
        <v>-1</v>
      </c>
      <c r="DV71" s="560">
        <v>1</v>
      </c>
      <c r="DW71" s="560">
        <v>1</v>
      </c>
      <c r="DX71" s="560">
        <v>1</v>
      </c>
      <c r="DY71" s="560">
        <v>1</v>
      </c>
      <c r="DZ71" s="560">
        <v>-1</v>
      </c>
      <c r="EA71" s="560">
        <v>-1</v>
      </c>
      <c r="EB71" s="560">
        <v>-1</v>
      </c>
      <c r="EC71" s="560">
        <v>-1</v>
      </c>
      <c r="ED71" s="560">
        <v>-1</v>
      </c>
      <c r="EE71" s="560">
        <v>-1</v>
      </c>
      <c r="EF71" s="560">
        <v>-1</v>
      </c>
      <c r="EG71" s="560">
        <v>-1</v>
      </c>
      <c r="EH71" s="560">
        <v>-1</v>
      </c>
      <c r="EI71" s="560">
        <v>-1</v>
      </c>
      <c r="EJ71" s="560">
        <v>-1</v>
      </c>
      <c r="EK71" s="560">
        <v>-1</v>
      </c>
      <c r="EL71" s="560">
        <v>-1</v>
      </c>
      <c r="EM71" s="560">
        <v>-1</v>
      </c>
      <c r="EN71" s="560">
        <v>-1</v>
      </c>
      <c r="EO71" s="560">
        <v>-1</v>
      </c>
      <c r="EP71" s="560">
        <v>-1</v>
      </c>
      <c r="EQ71" s="560">
        <v>-1</v>
      </c>
      <c r="ER71" s="560">
        <v>-1</v>
      </c>
      <c r="ES71" s="560">
        <v>-1</v>
      </c>
      <c r="ET71" s="560">
        <v>-1</v>
      </c>
      <c r="EU71" s="560">
        <v>-1</v>
      </c>
      <c r="EV71" s="560">
        <v>-1</v>
      </c>
      <c r="EW71" s="560">
        <v>1</v>
      </c>
      <c r="EX71" s="560">
        <v>1</v>
      </c>
      <c r="EY71" s="560">
        <v>1</v>
      </c>
      <c r="EZ71" s="560">
        <v>1</v>
      </c>
      <c r="FA71" s="560">
        <v>1</v>
      </c>
      <c r="FB71" s="560">
        <v>1</v>
      </c>
      <c r="FC71" s="560">
        <v>1</v>
      </c>
      <c r="FD71" s="560">
        <v>-1</v>
      </c>
      <c r="FE71" s="560">
        <v>-1</v>
      </c>
      <c r="FF71" s="560">
        <v>-1</v>
      </c>
      <c r="FG71" s="560">
        <v>-1</v>
      </c>
      <c r="FH71" s="560">
        <v>-1</v>
      </c>
      <c r="FI71" s="560">
        <v>-1</v>
      </c>
      <c r="FJ71" s="560">
        <v>-1</v>
      </c>
      <c r="FK71" s="560">
        <v>-1</v>
      </c>
      <c r="FL71" s="560">
        <v>-1</v>
      </c>
      <c r="FM71" s="560">
        <v>-1</v>
      </c>
      <c r="FN71" s="560">
        <v>-1</v>
      </c>
      <c r="FO71" s="560">
        <v>-1</v>
      </c>
      <c r="FP71" s="560">
        <v>-1</v>
      </c>
      <c r="FQ71" s="560">
        <v>-1</v>
      </c>
      <c r="FR71" s="560">
        <v>-1</v>
      </c>
      <c r="FS71" s="560">
        <v>-1</v>
      </c>
      <c r="FT71" s="560">
        <v>-1</v>
      </c>
      <c r="FU71" s="560">
        <v>-1</v>
      </c>
      <c r="FV71" s="560">
        <v>-1</v>
      </c>
      <c r="FW71" s="560">
        <v>-1</v>
      </c>
      <c r="FX71" s="560">
        <v>-1</v>
      </c>
      <c r="FY71" s="560">
        <v>-1</v>
      </c>
      <c r="FZ71" s="560">
        <v>-1</v>
      </c>
      <c r="GA71" s="560">
        <v>-1</v>
      </c>
      <c r="GB71" s="560">
        <v>-1</v>
      </c>
      <c r="GC71" s="560">
        <v>-1</v>
      </c>
      <c r="GD71" s="560">
        <v>-1</v>
      </c>
      <c r="GE71" s="560">
        <v>-1</v>
      </c>
      <c r="GF71" s="560">
        <v>-1</v>
      </c>
      <c r="GG71" s="560">
        <v>-1</v>
      </c>
      <c r="GH71" s="560">
        <v>-1</v>
      </c>
      <c r="GI71" s="560">
        <v>-1</v>
      </c>
      <c r="GJ71" s="560">
        <v>-1</v>
      </c>
      <c r="GK71" s="560">
        <v>-1</v>
      </c>
      <c r="GL71" s="560">
        <v>-1</v>
      </c>
      <c r="GM71" s="560">
        <v>-1</v>
      </c>
      <c r="GN71" s="560">
        <v>-1</v>
      </c>
      <c r="GO71" s="560">
        <v>-1</v>
      </c>
      <c r="GP71" s="560">
        <v>-1</v>
      </c>
      <c r="GQ71" s="560">
        <v>-1</v>
      </c>
      <c r="GR71" s="560">
        <v>-1</v>
      </c>
      <c r="GS71" s="560">
        <v>1</v>
      </c>
      <c r="GT71" s="560">
        <v>1</v>
      </c>
      <c r="GU71" s="560">
        <v>1</v>
      </c>
      <c r="GV71" s="560">
        <v>-1</v>
      </c>
      <c r="GW71" s="560">
        <v>-1</v>
      </c>
      <c r="GX71" s="560">
        <v>-1</v>
      </c>
      <c r="GY71" s="560">
        <v>-1</v>
      </c>
    </row>
    <row r="72" spans="1:207">
      <c r="A72" s="560" t="s">
        <v>257</v>
      </c>
      <c r="B72" s="560">
        <v>2613.3333333333298</v>
      </c>
      <c r="C72" s="560">
        <v>2648.3333333333298</v>
      </c>
      <c r="D72" s="560">
        <v>2681.6666666666702</v>
      </c>
      <c r="E72" s="560">
        <v>2716.3333333333298</v>
      </c>
      <c r="F72" s="560">
        <v>2719.3333333333298</v>
      </c>
      <c r="G72" s="560">
        <v>2739.6666666666702</v>
      </c>
      <c r="H72" s="560">
        <v>2751.6666666666702</v>
      </c>
      <c r="I72" s="560">
        <v>2781</v>
      </c>
      <c r="J72" s="560">
        <v>2815</v>
      </c>
      <c r="K72" s="560">
        <v>2849</v>
      </c>
      <c r="L72" s="560">
        <v>2874</v>
      </c>
      <c r="M72" s="560">
        <v>2901.3333333333298</v>
      </c>
      <c r="N72" s="560">
        <v>2899.6666666666702</v>
      </c>
      <c r="O72" s="560">
        <v>2911.6666666666702</v>
      </c>
      <c r="P72" s="560">
        <v>2926.3333333333298</v>
      </c>
      <c r="Q72" s="560">
        <v>2953.3333333333298</v>
      </c>
      <c r="R72" s="560">
        <v>2988.6666666666702</v>
      </c>
      <c r="S72" s="560">
        <v>3018</v>
      </c>
      <c r="T72" s="560">
        <v>3048.3333333333298</v>
      </c>
      <c r="U72" s="560">
        <v>3099</v>
      </c>
      <c r="V72" s="560">
        <v>3161.6666666666702</v>
      </c>
      <c r="W72" s="560">
        <v>3177.3333333333298</v>
      </c>
      <c r="X72" s="560">
        <v>3178</v>
      </c>
      <c r="Y72" s="560">
        <v>3197.3333333333298</v>
      </c>
      <c r="Z72" s="560">
        <v>3214.3333333333298</v>
      </c>
      <c r="AA72" s="560">
        <v>3241.6666666666702</v>
      </c>
      <c r="AB72" s="560">
        <v>3290.6666666666702</v>
      </c>
      <c r="AC72" s="560">
        <v>3342</v>
      </c>
      <c r="AD72" s="560">
        <v>3341.3333333333298</v>
      </c>
      <c r="AE72" s="560">
        <v>3374.6666666666702</v>
      </c>
      <c r="AF72" s="560">
        <v>3385</v>
      </c>
      <c r="AG72" s="560">
        <v>3404.6666666666702</v>
      </c>
      <c r="AH72" s="560">
        <v>3442.3333333333298</v>
      </c>
      <c r="AI72" s="560">
        <v>3479</v>
      </c>
      <c r="AJ72" s="560">
        <v>3477.3333333333298</v>
      </c>
      <c r="AK72" s="560">
        <v>3494</v>
      </c>
      <c r="AL72" s="560">
        <v>3504.3333333333298</v>
      </c>
      <c r="AM72" s="560">
        <v>3518</v>
      </c>
      <c r="AN72" s="560">
        <v>3560.6666666666702</v>
      </c>
      <c r="AO72" s="560">
        <v>3579.3333333333298</v>
      </c>
      <c r="AP72" s="560">
        <v>3582</v>
      </c>
      <c r="AQ72" s="560">
        <v>3602.6666666666702</v>
      </c>
      <c r="AR72" s="560">
        <v>3624</v>
      </c>
      <c r="AS72" s="560">
        <v>3630.6666666666702</v>
      </c>
      <c r="AT72" s="560">
        <v>3636</v>
      </c>
      <c r="AU72" s="560">
        <v>3631.6666666666702</v>
      </c>
      <c r="AV72" s="560">
        <v>3640</v>
      </c>
      <c r="AW72" s="560">
        <v>3653</v>
      </c>
      <c r="AX72" s="560">
        <v>3645.6666666666702</v>
      </c>
      <c r="AY72" s="560">
        <v>3647.3333333333298</v>
      </c>
      <c r="AZ72" s="560">
        <v>3625.6666666666702</v>
      </c>
      <c r="BA72" s="560">
        <v>3640.3333333333298</v>
      </c>
      <c r="BB72" s="560">
        <v>3650.3333333333298</v>
      </c>
      <c r="BC72" s="560">
        <v>3656</v>
      </c>
      <c r="BD72" s="560">
        <v>3671.3333333333298</v>
      </c>
      <c r="BE72" s="560">
        <v>3671.6666666666702</v>
      </c>
      <c r="BF72" s="560">
        <v>3687</v>
      </c>
      <c r="BG72" s="560">
        <v>3720</v>
      </c>
      <c r="BH72" s="560">
        <v>3758</v>
      </c>
      <c r="BI72" s="560">
        <v>3773</v>
      </c>
      <c r="BJ72" s="560">
        <v>3798.3333333333298</v>
      </c>
      <c r="BK72" s="560">
        <v>3819.3333333333298</v>
      </c>
      <c r="BL72" s="560">
        <v>3844.3333333333298</v>
      </c>
      <c r="BM72" s="560">
        <v>3864.3333333333298</v>
      </c>
      <c r="BN72" s="560">
        <v>3872.3333333333298</v>
      </c>
      <c r="BO72" s="560">
        <v>3883</v>
      </c>
      <c r="BP72" s="560">
        <v>3889.3333333333298</v>
      </c>
      <c r="BQ72" s="560">
        <v>3926.6666666666702</v>
      </c>
      <c r="BR72" s="560">
        <v>3943.6666666666702</v>
      </c>
      <c r="BS72" s="560">
        <v>3953</v>
      </c>
      <c r="BT72" s="560">
        <v>3969</v>
      </c>
      <c r="BU72" s="560">
        <v>4000.6666666666702</v>
      </c>
      <c r="BV72" s="560">
        <v>4030.6666666666702</v>
      </c>
      <c r="BW72" s="560">
        <v>4065.3333333333298</v>
      </c>
      <c r="BX72" s="560">
        <v>4094.3333333333298</v>
      </c>
      <c r="BY72" s="560">
        <v>4114.6666666666697</v>
      </c>
      <c r="BZ72" s="560">
        <v>4135.6666666666697</v>
      </c>
      <c r="CA72" s="560">
        <v>4169</v>
      </c>
      <c r="CB72" s="560">
        <v>4201.3333333333303</v>
      </c>
      <c r="CC72" s="560">
        <v>4221</v>
      </c>
      <c r="CD72" s="560">
        <v>4258</v>
      </c>
      <c r="CE72" s="560">
        <v>4295.6666666666697</v>
      </c>
      <c r="CF72" s="560">
        <v>4322.6666666666697</v>
      </c>
      <c r="CG72" s="560">
        <v>4342.6666666666697</v>
      </c>
      <c r="CH72" s="560">
        <v>4358</v>
      </c>
      <c r="CI72" s="560">
        <v>4362.3333333333303</v>
      </c>
      <c r="CJ72" s="560">
        <v>4345</v>
      </c>
      <c r="CK72" s="560">
        <v>4354.3333333333303</v>
      </c>
      <c r="CL72" s="560">
        <v>4372</v>
      </c>
      <c r="CM72" s="560">
        <v>4395.6666666666697</v>
      </c>
      <c r="CN72" s="560">
        <v>4425.3333333333303</v>
      </c>
      <c r="CO72" s="560">
        <v>4438</v>
      </c>
      <c r="CP72" s="560">
        <v>4456</v>
      </c>
      <c r="CQ72" s="560">
        <v>4478</v>
      </c>
      <c r="CR72" s="560">
        <v>4496</v>
      </c>
      <c r="CS72" s="560">
        <v>4515</v>
      </c>
      <c r="CT72" s="560">
        <v>4523.6666666666697</v>
      </c>
      <c r="CU72" s="560">
        <v>4555.3333333333303</v>
      </c>
      <c r="CV72" s="560">
        <v>4600</v>
      </c>
      <c r="CW72" s="560">
        <v>4626.3333333333303</v>
      </c>
      <c r="CX72" s="560">
        <v>4649.6666666666697</v>
      </c>
      <c r="CY72" s="560">
        <v>4643</v>
      </c>
      <c r="CZ72" s="560">
        <v>4623.6666666666697</v>
      </c>
      <c r="DA72" s="560">
        <v>4624.6666666666697</v>
      </c>
      <c r="DB72" s="560">
        <v>4621.3333333333303</v>
      </c>
      <c r="DC72" s="560">
        <v>4618.3333333333303</v>
      </c>
      <c r="DD72" s="560">
        <v>4600.3333333333303</v>
      </c>
      <c r="DE72" s="560">
        <v>4581.3333333333303</v>
      </c>
      <c r="DF72" s="560">
        <v>4574.3333333333303</v>
      </c>
      <c r="DG72" s="560">
        <v>4577</v>
      </c>
      <c r="DH72" s="560">
        <v>4589</v>
      </c>
      <c r="DI72" s="560">
        <v>4583</v>
      </c>
      <c r="DJ72" s="560">
        <v>4578</v>
      </c>
      <c r="DK72" s="560">
        <v>4596.6666666666697</v>
      </c>
      <c r="DL72" s="560">
        <v>4631.6666666666697</v>
      </c>
      <c r="DM72" s="560">
        <v>4640.6666666666697</v>
      </c>
      <c r="DN72" s="560">
        <v>4669</v>
      </c>
      <c r="DO72" s="560">
        <v>4688.3333333333303</v>
      </c>
      <c r="DP72" s="560">
        <v>4717.3333333333303</v>
      </c>
      <c r="DQ72" s="560">
        <v>4757.3333333333303</v>
      </c>
      <c r="DR72" s="560">
        <v>4768</v>
      </c>
      <c r="DS72" s="560">
        <v>4779.3333333333303</v>
      </c>
      <c r="DT72" s="560">
        <v>4793.3333333333303</v>
      </c>
      <c r="DU72" s="560">
        <v>4809</v>
      </c>
      <c r="DV72" s="560">
        <v>4832</v>
      </c>
      <c r="DW72" s="560">
        <v>4877.6666666666697</v>
      </c>
      <c r="DX72" s="560">
        <v>4936.6666666666697</v>
      </c>
      <c r="DY72" s="560">
        <v>4977.3333333333303</v>
      </c>
      <c r="DZ72" s="560">
        <v>5004.3333333333303</v>
      </c>
      <c r="EA72" s="560">
        <v>5039</v>
      </c>
      <c r="EB72" s="560">
        <v>5052.6666666666697</v>
      </c>
      <c r="EC72" s="560">
        <v>5020.6666666666697</v>
      </c>
      <c r="ED72" s="560">
        <v>5029.3333333333303</v>
      </c>
      <c r="EE72" s="560">
        <v>5007.6666666666697</v>
      </c>
      <c r="EF72" s="560">
        <v>4978.6666666666697</v>
      </c>
      <c r="EG72" s="560">
        <v>4985.3333333333303</v>
      </c>
      <c r="EH72" s="560">
        <v>4968.3333333333303</v>
      </c>
      <c r="EI72" s="560">
        <v>4974</v>
      </c>
      <c r="EJ72" s="560">
        <v>4984</v>
      </c>
      <c r="EK72" s="560">
        <v>4995.3333333333303</v>
      </c>
      <c r="EL72" s="560">
        <v>5015.6666666666697</v>
      </c>
      <c r="EM72" s="560">
        <v>5023.3333333333303</v>
      </c>
      <c r="EN72" s="560">
        <v>5039.3333333333303</v>
      </c>
      <c r="EO72" s="560">
        <v>5047.6666666666697</v>
      </c>
      <c r="EP72" s="560">
        <v>5047</v>
      </c>
      <c r="EQ72" s="560">
        <v>5068.3333333333303</v>
      </c>
      <c r="ER72" s="560">
        <v>5086</v>
      </c>
      <c r="ES72" s="560">
        <v>5098.3333333333303</v>
      </c>
      <c r="ET72" s="560">
        <v>5106.3333333333303</v>
      </c>
      <c r="EU72" s="560">
        <v>5124.3333333333303</v>
      </c>
      <c r="EV72" s="560">
        <v>5122</v>
      </c>
      <c r="EW72" s="560">
        <v>5136</v>
      </c>
      <c r="EX72" s="560">
        <v>5148.6666666666697</v>
      </c>
      <c r="EY72" s="560">
        <v>5166</v>
      </c>
      <c r="EZ72" s="560">
        <v>5196.3333333333303</v>
      </c>
      <c r="FA72" s="560">
        <v>5189</v>
      </c>
      <c r="FB72" s="560">
        <v>5192</v>
      </c>
      <c r="FC72" s="560">
        <v>5181.6666666666697</v>
      </c>
      <c r="FD72" s="560">
        <v>5145.3333333333303</v>
      </c>
      <c r="FE72" s="560">
        <v>5153.3333333333303</v>
      </c>
      <c r="FF72" s="560">
        <v>5144</v>
      </c>
      <c r="FG72" s="560">
        <v>5136.6666666666697</v>
      </c>
      <c r="FH72" s="560">
        <v>5129.3333333333303</v>
      </c>
      <c r="FI72" s="560">
        <v>5137</v>
      </c>
      <c r="FJ72" s="560">
        <v>5113.3333333333303</v>
      </c>
      <c r="FK72" s="560">
        <v>5084.3333333333303</v>
      </c>
      <c r="FL72" s="560">
        <v>5069.6666666666697</v>
      </c>
      <c r="FM72" s="560">
        <v>5051</v>
      </c>
      <c r="FN72" s="560">
        <v>5048</v>
      </c>
      <c r="FO72" s="560">
        <v>5055.3333333333303</v>
      </c>
      <c r="FP72" s="560">
        <v>5064.6666666666697</v>
      </c>
      <c r="FQ72" s="560">
        <v>5051.6666666666697</v>
      </c>
      <c r="FR72" s="560">
        <v>5042</v>
      </c>
      <c r="FS72" s="560">
        <v>5044.6666666666697</v>
      </c>
      <c r="FT72" s="560">
        <v>5040</v>
      </c>
      <c r="FU72" s="560">
        <v>5055.3333333333303</v>
      </c>
      <c r="FV72" s="560">
        <v>5054.6666666666697</v>
      </c>
      <c r="FW72" s="560">
        <v>5054.6666666666697</v>
      </c>
      <c r="FX72" s="560">
        <v>5030.6666666666697</v>
      </c>
      <c r="FY72" s="560">
        <v>5052.6666666666697</v>
      </c>
      <c r="FZ72" s="560">
        <v>5067.6666666666697</v>
      </c>
      <c r="GA72" s="560">
        <v>5072.3333333333303</v>
      </c>
      <c r="GB72" s="560">
        <v>5077.6666666666697</v>
      </c>
      <c r="GC72" s="560">
        <v>5087.3333333333303</v>
      </c>
      <c r="GD72" s="560">
        <v>5089</v>
      </c>
      <c r="GE72" s="560">
        <v>5098.6666666666697</v>
      </c>
      <c r="GF72" s="560">
        <v>5126.6666666666697</v>
      </c>
      <c r="GG72" s="560">
        <v>5135.3333333333303</v>
      </c>
      <c r="GH72" s="560">
        <v>5158</v>
      </c>
      <c r="GI72" s="560">
        <v>5170.3333333333303</v>
      </c>
      <c r="GJ72" s="560">
        <v>5168.3333333333303</v>
      </c>
      <c r="GK72" s="560">
        <v>5160.3333333333303</v>
      </c>
      <c r="GL72" s="560">
        <v>5150.3333333333303</v>
      </c>
      <c r="GM72" s="560">
        <v>5173</v>
      </c>
      <c r="GN72" s="560">
        <v>5185.3333333333303</v>
      </c>
      <c r="GO72" s="560">
        <v>5177</v>
      </c>
      <c r="GP72" s="560">
        <v>5171.3333333333303</v>
      </c>
      <c r="GQ72" s="560">
        <v>5177.3333333333303</v>
      </c>
      <c r="GR72" s="560">
        <v>5218.3333333333303</v>
      </c>
      <c r="GS72" s="560">
        <v>5250.3333333333303</v>
      </c>
      <c r="GT72" s="560">
        <v>5276.3333333333303</v>
      </c>
      <c r="GU72" s="560">
        <v>5049.3333333333303</v>
      </c>
      <c r="GV72" s="560">
        <v>5036.3333333333303</v>
      </c>
      <c r="GW72" s="560">
        <v>4935.3333333333303</v>
      </c>
      <c r="GX72" s="560">
        <v>4976.6666666666697</v>
      </c>
      <c r="GY72" s="560">
        <v>5025.6666666666697</v>
      </c>
    </row>
    <row r="73" spans="1:207">
      <c r="A73" s="560" t="s">
        <v>258</v>
      </c>
      <c r="B73" s="560">
        <v>7048.6666666666697</v>
      </c>
      <c r="C73" s="560">
        <v>7104.3333333333303</v>
      </c>
      <c r="D73" s="560">
        <v>7204.3333333333303</v>
      </c>
      <c r="E73" s="560">
        <v>7279.3333333333303</v>
      </c>
      <c r="F73" s="560">
        <v>7353.3333333333303</v>
      </c>
      <c r="G73" s="560">
        <v>7419.6666666666697</v>
      </c>
      <c r="H73" s="560">
        <v>7443.6666666666697</v>
      </c>
      <c r="I73" s="560">
        <v>7534</v>
      </c>
      <c r="J73" s="560">
        <v>7651.6666666666697</v>
      </c>
      <c r="K73" s="560">
        <v>7726.3333333333303</v>
      </c>
      <c r="L73" s="560">
        <v>7855</v>
      </c>
      <c r="M73" s="560">
        <v>7931.3333333333303</v>
      </c>
      <c r="N73" s="560">
        <v>8016</v>
      </c>
      <c r="O73" s="560">
        <v>8115</v>
      </c>
      <c r="P73" s="560">
        <v>8183.6666666666697</v>
      </c>
      <c r="Q73" s="560">
        <v>8272.3333333333303</v>
      </c>
      <c r="R73" s="560">
        <v>8307.6666666666697</v>
      </c>
      <c r="S73" s="560">
        <v>8346.3333333333303</v>
      </c>
      <c r="T73" s="560">
        <v>8424.6666666666697</v>
      </c>
      <c r="U73" s="560">
        <v>8551.3333333333303</v>
      </c>
      <c r="V73" s="560">
        <v>8673</v>
      </c>
      <c r="W73" s="560">
        <v>8751.3333333333303</v>
      </c>
      <c r="X73" s="560">
        <v>8786.3333333333303</v>
      </c>
      <c r="Y73" s="560">
        <v>8824.6666666666697</v>
      </c>
      <c r="Z73" s="560">
        <v>8883</v>
      </c>
      <c r="AA73" s="560">
        <v>8868.6666666666697</v>
      </c>
      <c r="AB73" s="560">
        <v>8845</v>
      </c>
      <c r="AC73" s="560">
        <v>8861</v>
      </c>
      <c r="AD73" s="560">
        <v>8860.6666666666697</v>
      </c>
      <c r="AE73" s="560">
        <v>8907.3333333333303</v>
      </c>
      <c r="AF73" s="560">
        <v>9099.3333333333303</v>
      </c>
      <c r="AG73" s="560">
        <v>9231</v>
      </c>
      <c r="AH73" s="560">
        <v>9348.3333333333303</v>
      </c>
      <c r="AI73" s="560">
        <v>9466</v>
      </c>
      <c r="AJ73" s="560">
        <v>9492.3333333333303</v>
      </c>
      <c r="AK73" s="560">
        <v>9482.6666666666697</v>
      </c>
      <c r="AL73" s="560">
        <v>9531.3333333333303</v>
      </c>
      <c r="AM73" s="560">
        <v>9604.3333333333303</v>
      </c>
      <c r="AN73" s="560">
        <v>9710.6666666666697</v>
      </c>
      <c r="AO73" s="560">
        <v>9697.3333333333303</v>
      </c>
      <c r="AP73" s="560">
        <v>9741.3333333333303</v>
      </c>
      <c r="AQ73" s="560">
        <v>9749.3333333333303</v>
      </c>
      <c r="AR73" s="560">
        <v>9782.3333333333303</v>
      </c>
      <c r="AS73" s="560">
        <v>9793</v>
      </c>
      <c r="AT73" s="560">
        <v>9750.3333333333303</v>
      </c>
      <c r="AU73" s="560">
        <v>9665</v>
      </c>
      <c r="AV73" s="560">
        <v>9547.6666666666697</v>
      </c>
      <c r="AW73" s="560">
        <v>9507</v>
      </c>
      <c r="AX73" s="560">
        <v>9484.3333333333303</v>
      </c>
      <c r="AY73" s="560">
        <v>9495.6666666666697</v>
      </c>
      <c r="AZ73" s="560">
        <v>9409.6666666666697</v>
      </c>
      <c r="BA73" s="560">
        <v>9437</v>
      </c>
      <c r="BB73" s="560">
        <v>9447.3333333333303</v>
      </c>
      <c r="BC73" s="560">
        <v>9445.3333333333303</v>
      </c>
      <c r="BD73" s="560">
        <v>9433</v>
      </c>
      <c r="BE73" s="560">
        <v>9401.6666666666697</v>
      </c>
      <c r="BF73" s="560">
        <v>9412</v>
      </c>
      <c r="BG73" s="560">
        <v>9445.3333333333303</v>
      </c>
      <c r="BH73" s="560">
        <v>9509</v>
      </c>
      <c r="BI73" s="560">
        <v>9555</v>
      </c>
      <c r="BJ73" s="560">
        <v>9595.6666666666697</v>
      </c>
      <c r="BK73" s="560">
        <v>9640.3333333333303</v>
      </c>
      <c r="BL73" s="560">
        <v>9746.6666666666697</v>
      </c>
      <c r="BM73" s="560">
        <v>9764.3333333333303</v>
      </c>
      <c r="BN73" s="560">
        <v>9815.3333333333303</v>
      </c>
      <c r="BO73" s="560">
        <v>9854.3333333333303</v>
      </c>
      <c r="BP73" s="560">
        <v>9906.6666666666697</v>
      </c>
      <c r="BQ73" s="560">
        <v>10024.333333333299</v>
      </c>
      <c r="BR73" s="560">
        <v>10039.333333333299</v>
      </c>
      <c r="BS73" s="560">
        <v>10083.333333333299</v>
      </c>
      <c r="BT73" s="560">
        <v>10092.333333333299</v>
      </c>
      <c r="BU73" s="560">
        <v>10184.666666666701</v>
      </c>
      <c r="BV73" s="560">
        <v>10250.666666666701</v>
      </c>
      <c r="BW73" s="560">
        <v>10315.333333333299</v>
      </c>
      <c r="BX73" s="560">
        <v>10341.666666666701</v>
      </c>
      <c r="BY73" s="560">
        <v>10446.666666666701</v>
      </c>
      <c r="BZ73" s="560">
        <v>10510.666666666701</v>
      </c>
      <c r="CA73" s="560">
        <v>10566.333333333299</v>
      </c>
      <c r="CB73" s="560">
        <v>10640.666666666701</v>
      </c>
      <c r="CC73" s="560">
        <v>10719.666666666701</v>
      </c>
      <c r="CD73" s="560">
        <v>10814</v>
      </c>
      <c r="CE73" s="560">
        <v>10873</v>
      </c>
      <c r="CF73" s="560">
        <v>10967.333333333299</v>
      </c>
      <c r="CG73" s="560">
        <v>11000.333333333299</v>
      </c>
      <c r="CH73" s="560">
        <v>11027</v>
      </c>
      <c r="CI73" s="560">
        <v>11057.333333333299</v>
      </c>
      <c r="CJ73" s="560">
        <v>11099.333333333299</v>
      </c>
      <c r="CK73" s="560">
        <v>11139.333333333299</v>
      </c>
      <c r="CL73" s="560">
        <v>11199</v>
      </c>
      <c r="CM73" s="560">
        <v>11238</v>
      </c>
      <c r="CN73" s="560">
        <v>11306.666666666701</v>
      </c>
      <c r="CO73" s="560">
        <v>11319.666666666701</v>
      </c>
      <c r="CP73" s="560">
        <v>11366.666666666701</v>
      </c>
      <c r="CQ73" s="560">
        <v>11407.666666666701</v>
      </c>
      <c r="CR73" s="560">
        <v>11483</v>
      </c>
      <c r="CS73" s="560">
        <v>11520.666666666701</v>
      </c>
      <c r="CT73" s="560">
        <v>11591.333333333299</v>
      </c>
      <c r="CU73" s="560">
        <v>11672.333333333299</v>
      </c>
      <c r="CV73" s="560">
        <v>11710.333333333299</v>
      </c>
      <c r="CW73" s="560">
        <v>11752</v>
      </c>
      <c r="CX73" s="560">
        <v>11791.333333333299</v>
      </c>
      <c r="CY73" s="560">
        <v>11828.666666666701</v>
      </c>
      <c r="CZ73" s="560">
        <v>11868</v>
      </c>
      <c r="DA73" s="560">
        <v>11923</v>
      </c>
      <c r="DB73" s="560">
        <v>11966</v>
      </c>
      <c r="DC73" s="560">
        <v>12017.333333333299</v>
      </c>
      <c r="DD73" s="560">
        <v>12067</v>
      </c>
      <c r="DE73" s="560">
        <v>12139</v>
      </c>
      <c r="DF73" s="560">
        <v>12185.666666666701</v>
      </c>
      <c r="DG73" s="560">
        <v>12229.666666666701</v>
      </c>
      <c r="DH73" s="560">
        <v>12296</v>
      </c>
      <c r="DI73" s="560">
        <v>12380</v>
      </c>
      <c r="DJ73" s="560">
        <v>12437.333333333299</v>
      </c>
      <c r="DK73" s="560">
        <v>12501.333333333299</v>
      </c>
      <c r="DL73" s="560">
        <v>12553.333333333299</v>
      </c>
      <c r="DM73" s="560">
        <v>12616.333333333299</v>
      </c>
      <c r="DN73" s="560">
        <v>12694.666666666701</v>
      </c>
      <c r="DO73" s="560">
        <v>12783.333333333299</v>
      </c>
      <c r="DP73" s="560">
        <v>12887.333333333299</v>
      </c>
      <c r="DQ73" s="560">
        <v>12972.333333333299</v>
      </c>
      <c r="DR73" s="560">
        <v>13050.333333333299</v>
      </c>
      <c r="DS73" s="560">
        <v>13113</v>
      </c>
      <c r="DT73" s="560">
        <v>13168</v>
      </c>
      <c r="DU73" s="560">
        <v>13220.666666666701</v>
      </c>
      <c r="DV73" s="560">
        <v>13310</v>
      </c>
      <c r="DW73" s="560">
        <v>13410.666666666701</v>
      </c>
      <c r="DX73" s="560">
        <v>13500.666666666701</v>
      </c>
      <c r="DY73" s="560">
        <v>13583.666666666701</v>
      </c>
      <c r="DZ73" s="560">
        <v>13639</v>
      </c>
      <c r="EA73" s="560">
        <v>13699.333333333299</v>
      </c>
      <c r="EB73" s="560">
        <v>13744.666666666701</v>
      </c>
      <c r="EC73" s="560">
        <v>13775</v>
      </c>
      <c r="ED73" s="560">
        <v>13801</v>
      </c>
      <c r="EE73" s="560">
        <v>13820</v>
      </c>
      <c r="EF73" s="560">
        <v>13832.333333333299</v>
      </c>
      <c r="EG73" s="560">
        <v>13824.333333333299</v>
      </c>
      <c r="EH73" s="560">
        <v>13859</v>
      </c>
      <c r="EI73" s="560">
        <v>13898</v>
      </c>
      <c r="EJ73" s="560">
        <v>13909.333333333299</v>
      </c>
      <c r="EK73" s="560">
        <v>13958.666666666701</v>
      </c>
      <c r="EL73" s="560">
        <v>13994.666666666701</v>
      </c>
      <c r="EM73" s="560">
        <v>14012</v>
      </c>
      <c r="EN73" s="560">
        <v>14085.333333333299</v>
      </c>
      <c r="EO73" s="560">
        <v>14072.333333333299</v>
      </c>
      <c r="EP73" s="560">
        <v>14098</v>
      </c>
      <c r="EQ73" s="560">
        <v>14119.666666666701</v>
      </c>
      <c r="ER73" s="560">
        <v>14201</v>
      </c>
      <c r="ES73" s="560">
        <v>14251.333333333299</v>
      </c>
      <c r="ET73" s="560">
        <v>14287.333333333299</v>
      </c>
      <c r="EU73" s="560">
        <v>14336</v>
      </c>
      <c r="EV73" s="560">
        <v>14369.333333333299</v>
      </c>
      <c r="EW73" s="560">
        <v>14455</v>
      </c>
      <c r="EX73" s="560">
        <v>14521.666666666701</v>
      </c>
      <c r="EY73" s="560">
        <v>14560.333333333299</v>
      </c>
      <c r="EZ73" s="560">
        <v>14594</v>
      </c>
      <c r="FA73" s="560">
        <v>14591</v>
      </c>
      <c r="FB73" s="560">
        <v>14587</v>
      </c>
      <c r="FC73" s="560">
        <v>14576.333333333299</v>
      </c>
      <c r="FD73" s="560">
        <v>14532</v>
      </c>
      <c r="FE73" s="560">
        <v>14521</v>
      </c>
      <c r="FF73" s="560">
        <v>14466</v>
      </c>
      <c r="FG73" s="560">
        <v>14434</v>
      </c>
      <c r="FH73" s="560">
        <v>14327.666666666701</v>
      </c>
      <c r="FI73" s="560">
        <v>14279</v>
      </c>
      <c r="FJ73" s="560">
        <v>14232.666666666701</v>
      </c>
      <c r="FK73" s="560">
        <v>14207.666666666701</v>
      </c>
      <c r="FL73" s="560">
        <v>14094</v>
      </c>
      <c r="FM73" s="560">
        <v>14080.666666666701</v>
      </c>
      <c r="FN73" s="560">
        <v>14067.666666666701</v>
      </c>
      <c r="FO73" s="560">
        <v>14044.333333333299</v>
      </c>
      <c r="FP73" s="560">
        <v>14034.333333333299</v>
      </c>
      <c r="FQ73" s="560">
        <v>14026.333333333299</v>
      </c>
      <c r="FR73" s="560">
        <v>14029.333333333299</v>
      </c>
      <c r="FS73" s="560">
        <v>14033</v>
      </c>
      <c r="FT73" s="560">
        <v>14031</v>
      </c>
      <c r="FU73" s="560">
        <v>14033.666666666701</v>
      </c>
      <c r="FV73" s="560">
        <v>14037.666666666701</v>
      </c>
      <c r="FW73" s="560">
        <v>14077</v>
      </c>
      <c r="FX73" s="560">
        <v>14120</v>
      </c>
      <c r="FY73" s="560">
        <v>14140</v>
      </c>
      <c r="FZ73" s="560">
        <v>14155</v>
      </c>
      <c r="GA73" s="560">
        <v>14181.666666666701</v>
      </c>
      <c r="GB73" s="560">
        <v>14214</v>
      </c>
      <c r="GC73" s="560">
        <v>14223.666666666701</v>
      </c>
      <c r="GD73" s="560">
        <v>14277</v>
      </c>
      <c r="GE73" s="560">
        <v>14297.666666666701</v>
      </c>
      <c r="GF73" s="560">
        <v>14369</v>
      </c>
      <c r="GG73" s="560">
        <v>14351</v>
      </c>
      <c r="GH73" s="560">
        <v>14347</v>
      </c>
      <c r="GI73" s="560">
        <v>14363</v>
      </c>
      <c r="GJ73" s="560">
        <v>14401.666666666701</v>
      </c>
      <c r="GK73" s="560">
        <v>14428.666666666701</v>
      </c>
      <c r="GL73" s="560">
        <v>14442.333333333299</v>
      </c>
      <c r="GM73" s="560">
        <v>14468.666666666701</v>
      </c>
      <c r="GN73" s="560">
        <v>14494.333333333299</v>
      </c>
      <c r="GO73" s="560">
        <v>14510</v>
      </c>
      <c r="GP73" s="560">
        <v>14527.666666666701</v>
      </c>
      <c r="GQ73" s="560">
        <v>14558.333333333299</v>
      </c>
      <c r="GR73" s="560">
        <v>14590</v>
      </c>
      <c r="GS73" s="560">
        <v>14620.333333333299</v>
      </c>
      <c r="GT73" s="560">
        <v>14658.333333333299</v>
      </c>
      <c r="GU73" s="560">
        <v>13569.666666666701</v>
      </c>
      <c r="GV73" s="560">
        <v>13736.666666666701</v>
      </c>
      <c r="GW73" s="560">
        <v>13655.333333333299</v>
      </c>
      <c r="GX73" s="560">
        <v>13671.333333333299</v>
      </c>
      <c r="GY73" s="560">
        <v>13773.666666666701</v>
      </c>
    </row>
    <row r="74" spans="1:207">
      <c r="A74" s="560" t="s">
        <v>259</v>
      </c>
      <c r="B74" s="560">
        <v>23545.666666666701</v>
      </c>
      <c r="C74" s="560">
        <v>24037</v>
      </c>
      <c r="D74" s="560">
        <v>25485.666666666701</v>
      </c>
      <c r="E74" s="560">
        <v>25754.666666666701</v>
      </c>
      <c r="F74" s="560">
        <v>25713</v>
      </c>
      <c r="G74" s="560">
        <v>25998.666666666701</v>
      </c>
      <c r="H74" s="560">
        <v>25691</v>
      </c>
      <c r="I74" s="560">
        <v>26178.666666666701</v>
      </c>
      <c r="J74" s="560">
        <v>25519</v>
      </c>
      <c r="K74" s="560">
        <v>24875</v>
      </c>
      <c r="L74" s="560">
        <v>25641</v>
      </c>
      <c r="M74" s="560">
        <v>27114.333333333299</v>
      </c>
      <c r="N74" s="560">
        <v>27472.666666666701</v>
      </c>
      <c r="O74" s="560">
        <v>27079.333333333299</v>
      </c>
      <c r="P74" s="560">
        <v>27510</v>
      </c>
      <c r="Q74" s="560">
        <v>28620</v>
      </c>
      <c r="R74" s="560">
        <v>30923.666666666701</v>
      </c>
      <c r="S74" s="560">
        <v>33400.666666666701</v>
      </c>
      <c r="T74" s="560">
        <v>33701.666666666701</v>
      </c>
      <c r="U74" s="560">
        <v>33884</v>
      </c>
      <c r="V74" s="560">
        <v>37820.333333333299</v>
      </c>
      <c r="W74" s="560">
        <v>35429.666666666701</v>
      </c>
      <c r="X74" s="560">
        <v>36988.333333333299</v>
      </c>
      <c r="Y74" s="560">
        <v>39554</v>
      </c>
      <c r="Z74" s="560">
        <v>42554</v>
      </c>
      <c r="AA74" s="560">
        <v>38830.666666666701</v>
      </c>
      <c r="AB74" s="560">
        <v>36130</v>
      </c>
      <c r="AC74" s="560">
        <v>34359.666666666701</v>
      </c>
      <c r="AD74" s="560">
        <v>36034</v>
      </c>
      <c r="AE74" s="560">
        <v>37037.666666666701</v>
      </c>
      <c r="AF74" s="560">
        <v>35666.333333333299</v>
      </c>
      <c r="AG74" s="560">
        <v>35160</v>
      </c>
      <c r="AH74" s="560">
        <v>34095.333333333299</v>
      </c>
      <c r="AI74" s="560">
        <v>41889.666666666701</v>
      </c>
      <c r="AJ74" s="560">
        <v>43760.666666666701</v>
      </c>
      <c r="AK74" s="560">
        <v>45015.333333333299</v>
      </c>
      <c r="AL74" s="560">
        <v>40794</v>
      </c>
      <c r="AM74" s="560">
        <v>45875.333333333299</v>
      </c>
      <c r="AN74" s="560">
        <v>49343.666666666701</v>
      </c>
      <c r="AO74" s="560">
        <v>52609</v>
      </c>
      <c r="AP74" s="560">
        <v>55934.333333333299</v>
      </c>
      <c r="AQ74" s="560">
        <v>54112</v>
      </c>
      <c r="AR74" s="560">
        <v>52797</v>
      </c>
      <c r="AS74" s="560">
        <v>54381</v>
      </c>
      <c r="AT74" s="560">
        <v>60484</v>
      </c>
      <c r="AU74" s="560">
        <v>53862</v>
      </c>
      <c r="AV74" s="560">
        <v>52044</v>
      </c>
      <c r="AW74" s="560">
        <v>54313.666666666701</v>
      </c>
      <c r="AX74" s="560">
        <v>51944</v>
      </c>
      <c r="AY74" s="560">
        <v>52182.666666666701</v>
      </c>
      <c r="AZ74" s="560">
        <v>52486.333333333299</v>
      </c>
      <c r="BA74" s="560">
        <v>54765.333333333299</v>
      </c>
      <c r="BB74" s="560">
        <v>52678.333333333299</v>
      </c>
      <c r="BC74" s="560">
        <v>51386</v>
      </c>
      <c r="BD74" s="560">
        <v>53662.333333333299</v>
      </c>
      <c r="BE74" s="560">
        <v>53249</v>
      </c>
      <c r="BF74" s="560">
        <v>55752.333333333299</v>
      </c>
      <c r="BG74" s="560">
        <v>57382.666666666701</v>
      </c>
      <c r="BH74" s="560">
        <v>59910.333333333299</v>
      </c>
      <c r="BI74" s="560">
        <v>60890.666666666701</v>
      </c>
      <c r="BJ74" s="560">
        <v>62514.666666666701</v>
      </c>
      <c r="BK74" s="560">
        <v>65739.333333333299</v>
      </c>
      <c r="BL74" s="560">
        <v>67220</v>
      </c>
      <c r="BM74" s="560">
        <v>66558.333333333299</v>
      </c>
      <c r="BN74" s="560">
        <v>70815.333333333299</v>
      </c>
      <c r="BO74" s="560">
        <v>72215.333333333299</v>
      </c>
      <c r="BP74" s="560">
        <v>73843.333333333299</v>
      </c>
      <c r="BQ74" s="560">
        <v>71122.666666666701</v>
      </c>
      <c r="BR74" s="560">
        <v>75290</v>
      </c>
      <c r="BS74" s="560">
        <v>75025.666666666701</v>
      </c>
      <c r="BT74" s="560">
        <v>77047</v>
      </c>
      <c r="BU74" s="560">
        <v>78058</v>
      </c>
      <c r="BV74" s="560">
        <v>79349.666666666701</v>
      </c>
      <c r="BW74" s="560">
        <v>83348</v>
      </c>
      <c r="BX74" s="560">
        <v>82022.666666666701</v>
      </c>
      <c r="BY74" s="560">
        <v>84604</v>
      </c>
      <c r="BZ74" s="560">
        <v>83566.666666666701</v>
      </c>
      <c r="CA74" s="560">
        <v>85684</v>
      </c>
      <c r="CB74" s="560">
        <v>85730.333333333299</v>
      </c>
      <c r="CC74" s="560">
        <v>89358.333333333299</v>
      </c>
      <c r="CD74" s="560">
        <v>94388.333333333299</v>
      </c>
      <c r="CE74" s="560">
        <v>93807</v>
      </c>
      <c r="CF74" s="560">
        <v>94972</v>
      </c>
      <c r="CG74" s="560">
        <v>98807.666666666701</v>
      </c>
      <c r="CH74" s="560">
        <v>95253.666666666701</v>
      </c>
      <c r="CI74" s="560">
        <v>96128.666666666701</v>
      </c>
      <c r="CJ74" s="560">
        <v>97326.333333333299</v>
      </c>
      <c r="CK74" s="560">
        <v>99221</v>
      </c>
      <c r="CL74" s="560">
        <v>106368.66666666701</v>
      </c>
      <c r="CM74" s="560">
        <v>103446</v>
      </c>
      <c r="CN74" s="560">
        <v>99580.333333333299</v>
      </c>
      <c r="CO74" s="560">
        <v>98022.333333333299</v>
      </c>
      <c r="CP74" s="560">
        <v>102495</v>
      </c>
      <c r="CQ74" s="560">
        <v>111962</v>
      </c>
      <c r="CR74" s="560">
        <v>116124.66666666701</v>
      </c>
      <c r="CS74" s="560">
        <v>118029</v>
      </c>
      <c r="CT74" s="560">
        <v>111803</v>
      </c>
      <c r="CU74" s="560">
        <v>113545</v>
      </c>
      <c r="CV74" s="560">
        <v>118942</v>
      </c>
      <c r="CW74" s="560">
        <v>117294.33333333299</v>
      </c>
      <c r="CX74" s="560">
        <v>116848.66666666701</v>
      </c>
      <c r="CY74" s="560">
        <v>124434.33333333299</v>
      </c>
      <c r="CZ74" s="560">
        <v>125240</v>
      </c>
      <c r="DA74" s="560">
        <v>127572.66666666701</v>
      </c>
      <c r="DB74" s="560">
        <v>126179.33333333299</v>
      </c>
      <c r="DC74" s="560">
        <v>131672</v>
      </c>
      <c r="DD74" s="560">
        <v>131615</v>
      </c>
      <c r="DE74" s="560">
        <v>135638.66666666701</v>
      </c>
      <c r="DF74" s="560">
        <v>135471.66666666701</v>
      </c>
      <c r="DG74" s="560">
        <v>139479.33333333299</v>
      </c>
      <c r="DH74" s="560">
        <v>141385.33333333299</v>
      </c>
      <c r="DI74" s="560">
        <v>140102.66666666701</v>
      </c>
      <c r="DJ74" s="560">
        <v>133975</v>
      </c>
      <c r="DK74" s="560">
        <v>137818</v>
      </c>
      <c r="DL74" s="560">
        <v>143529.33333333299</v>
      </c>
      <c r="DM74" s="560">
        <v>144434.66666666701</v>
      </c>
      <c r="DN74" s="560">
        <v>150497</v>
      </c>
      <c r="DO74" s="560">
        <v>152515.33333333299</v>
      </c>
      <c r="DP74" s="560">
        <v>155465.33333333299</v>
      </c>
      <c r="DQ74" s="560">
        <v>163365.33333333299</v>
      </c>
      <c r="DR74" s="560">
        <v>168776.33333333299</v>
      </c>
      <c r="DS74" s="560">
        <v>165200.66666666701</v>
      </c>
      <c r="DT74" s="560">
        <v>166145</v>
      </c>
      <c r="DU74" s="560">
        <v>170616.66666666701</v>
      </c>
      <c r="DV74" s="560">
        <v>176411.33333333299</v>
      </c>
      <c r="DW74" s="560">
        <v>189275.66666666701</v>
      </c>
      <c r="DX74" s="560">
        <v>187116</v>
      </c>
      <c r="DY74" s="560">
        <v>193037.66666666701</v>
      </c>
      <c r="DZ74" s="560">
        <v>198023.33333333299</v>
      </c>
      <c r="EA74" s="560">
        <v>194794</v>
      </c>
      <c r="EB74" s="560">
        <v>196443.66666666701</v>
      </c>
      <c r="EC74" s="560">
        <v>199770.66666666701</v>
      </c>
      <c r="ED74" s="560">
        <v>197410.66666666701</v>
      </c>
      <c r="EE74" s="560">
        <v>195858</v>
      </c>
      <c r="EF74" s="560">
        <v>200686</v>
      </c>
      <c r="EG74" s="560">
        <v>199340</v>
      </c>
      <c r="EH74" s="560">
        <v>197322.33333333299</v>
      </c>
      <c r="EI74" s="560">
        <v>202356.33333333299</v>
      </c>
      <c r="EJ74" s="560">
        <v>202328</v>
      </c>
      <c r="EK74" s="560">
        <v>204931</v>
      </c>
      <c r="EL74" s="560">
        <v>207202</v>
      </c>
      <c r="EM74" s="560">
        <v>215946</v>
      </c>
      <c r="EN74" s="560">
        <v>219407.66666666701</v>
      </c>
      <c r="EO74" s="560">
        <v>222763.66666666701</v>
      </c>
      <c r="EP74" s="560">
        <v>230117.66666666701</v>
      </c>
      <c r="EQ74" s="560">
        <v>238436</v>
      </c>
      <c r="ER74" s="560">
        <v>238965</v>
      </c>
      <c r="ES74" s="560">
        <v>242956.33333333299</v>
      </c>
      <c r="ET74" s="560">
        <v>258254.33333333299</v>
      </c>
      <c r="EU74" s="560">
        <v>266203.66666666698</v>
      </c>
      <c r="EV74" s="560">
        <v>271640.33333333302</v>
      </c>
      <c r="EW74" s="560">
        <v>276454.66666666698</v>
      </c>
      <c r="EX74" s="560">
        <v>278038.33333333302</v>
      </c>
      <c r="EY74" s="560">
        <v>283074.33333333302</v>
      </c>
      <c r="EZ74" s="560">
        <v>287093.66666666698</v>
      </c>
      <c r="FA74" s="560">
        <v>288334</v>
      </c>
      <c r="FB74" s="560">
        <v>289591.33333333302</v>
      </c>
      <c r="FC74" s="560">
        <v>292223.66666666698</v>
      </c>
      <c r="FD74" s="560">
        <v>287368</v>
      </c>
      <c r="FE74" s="560">
        <v>274301</v>
      </c>
      <c r="FF74" s="560">
        <v>268022</v>
      </c>
      <c r="FG74" s="560">
        <v>274526.66666666698</v>
      </c>
      <c r="FH74" s="560">
        <v>277232.33333333302</v>
      </c>
      <c r="FI74" s="560">
        <v>269906.33333333302</v>
      </c>
      <c r="FJ74" s="560">
        <v>258077</v>
      </c>
      <c r="FK74" s="560">
        <v>251739</v>
      </c>
      <c r="FL74" s="560">
        <v>253215.33333333299</v>
      </c>
      <c r="FM74" s="560">
        <v>258046</v>
      </c>
      <c r="FN74" s="560">
        <v>254528.33333333299</v>
      </c>
      <c r="FO74" s="560">
        <v>254598.66666666701</v>
      </c>
      <c r="FP74" s="560">
        <v>252248.66666666701</v>
      </c>
      <c r="FQ74" s="560">
        <v>246424.33333333299</v>
      </c>
      <c r="FR74" s="560">
        <v>242924.33333333299</v>
      </c>
      <c r="FS74" s="560">
        <v>245991.66666666701</v>
      </c>
      <c r="FT74" s="560">
        <v>249225</v>
      </c>
      <c r="FU74" s="560">
        <v>247543.33333333299</v>
      </c>
      <c r="FV74" s="560">
        <v>242281</v>
      </c>
      <c r="FW74" s="560">
        <v>251080</v>
      </c>
      <c r="FX74" s="560">
        <v>258128</v>
      </c>
      <c r="FY74" s="560">
        <v>260687.66666666701</v>
      </c>
      <c r="FZ74" s="560">
        <v>260300</v>
      </c>
      <c r="GA74" s="560">
        <v>273597.33333333302</v>
      </c>
      <c r="GB74" s="560">
        <v>278438.66666666698</v>
      </c>
      <c r="GC74" s="560">
        <v>269445</v>
      </c>
      <c r="GD74" s="560">
        <v>278949.33333333302</v>
      </c>
      <c r="GE74" s="560">
        <v>274095</v>
      </c>
      <c r="GF74" s="560">
        <v>271667</v>
      </c>
      <c r="GG74" s="560">
        <v>276420.33333333302</v>
      </c>
      <c r="GH74" s="560">
        <v>272574.33333333302</v>
      </c>
      <c r="GI74" s="560">
        <v>274286.33333333302</v>
      </c>
      <c r="GJ74" s="560">
        <v>274862.66666666698</v>
      </c>
      <c r="GK74" s="560">
        <v>280795.33333333302</v>
      </c>
      <c r="GL74" s="560">
        <v>282163</v>
      </c>
      <c r="GM74" s="560">
        <v>291235.66666666698</v>
      </c>
      <c r="GN74" s="560">
        <v>292706.66666666698</v>
      </c>
      <c r="GO74" s="560">
        <v>285420</v>
      </c>
      <c r="GP74" s="560">
        <v>304217</v>
      </c>
      <c r="GQ74" s="560">
        <v>321543</v>
      </c>
      <c r="GR74" s="560">
        <v>322016</v>
      </c>
      <c r="GS74" s="560">
        <v>324071.66666666698</v>
      </c>
      <c r="GT74" s="560">
        <v>341494</v>
      </c>
      <c r="GU74" s="560">
        <v>335548.33333333302</v>
      </c>
      <c r="GV74" s="560">
        <v>323099.33333333302</v>
      </c>
      <c r="GW74" s="560">
        <v>328325</v>
      </c>
      <c r="GX74" s="560">
        <v>322875.33333333302</v>
      </c>
      <c r="GY74" s="560">
        <v>317911</v>
      </c>
    </row>
    <row r="75" spans="1:207">
      <c r="A75" s="560" t="s">
        <v>675</v>
      </c>
      <c r="B75" s="560">
        <v>1.4432117337345E-2</v>
      </c>
      <c r="C75" s="560">
        <v>1.4432117337345E-2</v>
      </c>
      <c r="D75" s="560">
        <v>8.2024190184901702E-3</v>
      </c>
      <c r="E75" s="560">
        <v>1.30998345284059E-2</v>
      </c>
      <c r="F75" s="560">
        <v>1.51535774238918E-2</v>
      </c>
      <c r="G75" s="560">
        <v>1.336312849162E-2</v>
      </c>
      <c r="H75" s="560">
        <v>1.0099673635000301E-2</v>
      </c>
      <c r="I75" s="560">
        <v>8.2521940357158704E-3</v>
      </c>
      <c r="J75" s="560">
        <v>1.60661701022E-2</v>
      </c>
      <c r="K75" s="560">
        <v>6.0947022972339697E-3</v>
      </c>
      <c r="L75" s="560">
        <v>9.0654918241124295E-3</v>
      </c>
      <c r="M75" s="560">
        <v>1.13350125944585E-2</v>
      </c>
      <c r="N75" s="560">
        <v>1.2702366127023801E-2</v>
      </c>
      <c r="O75" s="560">
        <v>1.6560091818330801E-2</v>
      </c>
      <c r="P75" s="560">
        <v>1.9072580645161302E-2</v>
      </c>
      <c r="Q75" s="560">
        <v>1.73307482293357E-2</v>
      </c>
      <c r="R75" s="560">
        <v>2.0263700361712999E-2</v>
      </c>
      <c r="S75" s="560">
        <v>2.2224763647453499E-2</v>
      </c>
      <c r="T75" s="560">
        <v>3.0803654670893001E-2</v>
      </c>
      <c r="U75" s="560">
        <v>3.03172822980355E-2</v>
      </c>
      <c r="V75" s="560">
        <v>2.2648267144211399E-2</v>
      </c>
      <c r="W75" s="560">
        <v>1.4489767889026299E-2</v>
      </c>
      <c r="X75" s="560">
        <v>1.76673661409328E-2</v>
      </c>
      <c r="Y75" s="560">
        <v>1.6695490222163E-2</v>
      </c>
      <c r="Z75" s="560">
        <v>1.0958456002617E-2</v>
      </c>
      <c r="AA75" s="560">
        <v>9.9660249150623804E-3</v>
      </c>
      <c r="AB75" s="560">
        <v>1.2751097299202201E-2</v>
      </c>
      <c r="AC75" s="560">
        <v>1.6987757426212498E-2</v>
      </c>
      <c r="AD75" s="560">
        <v>1.6175189747418099E-2</v>
      </c>
      <c r="AE75" s="560">
        <v>1.5795273662299499E-2</v>
      </c>
      <c r="AF75" s="560">
        <v>1.37716972034716E-2</v>
      </c>
      <c r="AG75" s="560">
        <v>1.67058054160103E-2</v>
      </c>
      <c r="AH75" s="560">
        <v>1.6372832792445099E-2</v>
      </c>
      <c r="AI75" s="560">
        <v>1.9963754566637099E-2</v>
      </c>
      <c r="AJ75" s="560">
        <v>1.7655187974165799E-2</v>
      </c>
      <c r="AK75" s="560">
        <v>1.9759997782889501E-2</v>
      </c>
      <c r="AL75" s="560">
        <v>1.8670507663876498E-2</v>
      </c>
      <c r="AM75" s="560">
        <v>2.41442787396953E-2</v>
      </c>
      <c r="AN75" s="560">
        <v>2.0891945399603901E-2</v>
      </c>
      <c r="AO75" s="560">
        <v>1.8244450114825301E-2</v>
      </c>
      <c r="AP75" s="560">
        <v>2.1851898258363499E-2</v>
      </c>
      <c r="AQ75" s="560">
        <v>2.3738872403560801E-2</v>
      </c>
      <c r="AR75" s="560">
        <v>2.23020721044438E-2</v>
      </c>
      <c r="AS75" s="560">
        <v>2.6502015184178399E-2</v>
      </c>
      <c r="AT75" s="560">
        <v>2.65026137375306E-2</v>
      </c>
      <c r="AU75" s="560">
        <v>1.8791140366482901E-2</v>
      </c>
      <c r="AV75" s="560">
        <v>1.9426800253203199E-2</v>
      </c>
      <c r="AW75" s="560">
        <v>1.65299873669786E-2</v>
      </c>
      <c r="AX75" s="560">
        <v>1.4323328067404001E-2</v>
      </c>
      <c r="AY75" s="560">
        <v>1.32904163638252E-2</v>
      </c>
      <c r="AZ75" s="560">
        <v>1.3874372374218701E-2</v>
      </c>
      <c r="BA75" s="560">
        <v>1.01269404915911E-2</v>
      </c>
      <c r="BB75" s="560">
        <v>7.9843115282252092E-3</v>
      </c>
      <c r="BC75" s="560">
        <v>7.4247597871834898E-3</v>
      </c>
      <c r="BD75" s="560">
        <v>1.0621526819847699E-2</v>
      </c>
      <c r="BE75" s="560">
        <v>7.4875694647558201E-3</v>
      </c>
      <c r="BF75" s="560">
        <v>9.8511680117672196E-3</v>
      </c>
      <c r="BG75" s="560">
        <v>8.9884625704319508E-3</v>
      </c>
      <c r="BH75" s="560">
        <v>9.0223564495603998E-3</v>
      </c>
      <c r="BI75" s="560">
        <v>7.0027483904972999E-3</v>
      </c>
      <c r="BJ75" s="560">
        <v>1.0225445844393799E-2</v>
      </c>
      <c r="BK75" s="560">
        <v>5.92143002535117E-3</v>
      </c>
      <c r="BL75" s="560">
        <v>6.6407902724381403E-3</v>
      </c>
      <c r="BM75" s="560">
        <v>5.18986879134542E-3</v>
      </c>
      <c r="BN75" s="560">
        <v>4.9449151001708103E-3</v>
      </c>
      <c r="BO75" s="560">
        <v>3.5095336300157202E-3</v>
      </c>
      <c r="BP75" s="560">
        <v>4.7411306605133997E-3</v>
      </c>
      <c r="BQ75" s="560">
        <v>5.9388176190904298E-3</v>
      </c>
      <c r="BR75" s="560">
        <v>5.7967395569507004E-3</v>
      </c>
      <c r="BS75" s="560">
        <v>6.79186394992115E-3</v>
      </c>
      <c r="BT75" s="560">
        <v>7.7147990277239798E-3</v>
      </c>
      <c r="BU75" s="560">
        <v>7.4984269034468198E-3</v>
      </c>
      <c r="BV75" s="560">
        <v>7.7375479259556004E-3</v>
      </c>
      <c r="BW75" s="560">
        <v>9.98502246630051E-3</v>
      </c>
      <c r="BX75" s="560">
        <v>1.2238566826324701E-2</v>
      </c>
      <c r="BY75" s="560">
        <v>9.2110802391176493E-3</v>
      </c>
      <c r="BZ75" s="560">
        <v>9.6108923446573992E-3</v>
      </c>
      <c r="CA75" s="560">
        <v>1.08250148740661E-2</v>
      </c>
      <c r="CB75" s="560">
        <v>7.42278828703635E-3</v>
      </c>
      <c r="CC75" s="560">
        <v>6.8163006962365102E-3</v>
      </c>
      <c r="CD75" s="560">
        <v>1.08967229234167E-2</v>
      </c>
      <c r="CE75" s="560">
        <v>1.1193851354583499E-2</v>
      </c>
      <c r="CF75" s="560">
        <v>8.6414886067964804E-3</v>
      </c>
      <c r="CG75" s="560">
        <v>7.6450447915199504E-3</v>
      </c>
      <c r="CH75" s="560">
        <v>9.7126543784522602E-3</v>
      </c>
      <c r="CI75" s="560">
        <v>7.2067365315466904E-3</v>
      </c>
      <c r="CJ75" s="560">
        <v>7.6738828626787799E-3</v>
      </c>
      <c r="CK75" s="560">
        <v>5.8137774413322702E-3</v>
      </c>
      <c r="CL75" s="560">
        <v>4.0039738688022498E-3</v>
      </c>
      <c r="CM75" s="560">
        <v>5.9670164917540198E-3</v>
      </c>
      <c r="CN75" s="560">
        <v>4.7840472145219701E-3</v>
      </c>
      <c r="CO75" s="560">
        <v>7.0454916269895298E-3</v>
      </c>
      <c r="CP75" s="560">
        <v>5.9504521754498701E-3</v>
      </c>
      <c r="CQ75" s="560">
        <v>5.9006120237781196E-3</v>
      </c>
      <c r="CR75" s="560">
        <v>5.0217609641782799E-3</v>
      </c>
      <c r="CS75" s="560">
        <v>5.8801378790949198E-3</v>
      </c>
      <c r="CT75" s="560">
        <v>5.1114438749064704E-3</v>
      </c>
      <c r="CU75" s="560">
        <v>4.7702952425974204E-3</v>
      </c>
      <c r="CV75" s="560">
        <v>5.33219275734242E-3</v>
      </c>
      <c r="CW75" s="560">
        <v>5.5733613183197601E-3</v>
      </c>
      <c r="CX75" s="560">
        <v>5.6976039037051097E-3</v>
      </c>
      <c r="CY75" s="560">
        <v>4.9080786975359602E-3</v>
      </c>
      <c r="CZ75" s="560">
        <v>4.47942395445211E-3</v>
      </c>
      <c r="DA75" s="560">
        <v>4.7234030729905703E-3</v>
      </c>
      <c r="DB75" s="560">
        <v>4.6044080639362503E-3</v>
      </c>
      <c r="DC75" s="560">
        <v>4.0878122634366897E-3</v>
      </c>
      <c r="DD75" s="560">
        <v>4.8525057572101904E-3</v>
      </c>
      <c r="DE75" s="560">
        <v>4.2288489346029596E-3</v>
      </c>
      <c r="DF75" s="560">
        <v>4.4827211475766404E-3</v>
      </c>
      <c r="DG75" s="560">
        <v>4.9766045492656303E-3</v>
      </c>
      <c r="DH75" s="560">
        <v>2.9738676427053501E-3</v>
      </c>
      <c r="DI75" s="560">
        <v>3.5822097001410001E-3</v>
      </c>
      <c r="DJ75" s="560">
        <v>1.0160156145557801E-3</v>
      </c>
      <c r="DK75" s="560">
        <v>2.59088116669792E-3</v>
      </c>
      <c r="DL75" s="560">
        <v>3.87627877237851E-3</v>
      </c>
      <c r="DM75" s="560">
        <v>2.6803603890504001E-3</v>
      </c>
      <c r="DN75" s="560">
        <v>2.6996625421822399E-3</v>
      </c>
      <c r="DO75" s="560">
        <v>4.5269173408648599E-3</v>
      </c>
      <c r="DP75" s="560">
        <v>3.83645154509149E-3</v>
      </c>
      <c r="DQ75" s="560">
        <v>5.2615046332653596E-3</v>
      </c>
      <c r="DR75" s="560">
        <v>6.6661458740202599E-3</v>
      </c>
      <c r="DS75" s="560">
        <v>6.0141234900024099E-3</v>
      </c>
      <c r="DT75" s="560">
        <v>6.26100818945008E-3</v>
      </c>
      <c r="DU75" s="560">
        <v>5.4171457774372404E-3</v>
      </c>
      <c r="DV75" s="560">
        <v>6.8493150684931798E-3</v>
      </c>
      <c r="DW75" s="560">
        <v>6.6638900458142504E-3</v>
      </c>
      <c r="DX75" s="560">
        <v>3.0340642669976999E-3</v>
      </c>
      <c r="DY75" s="560">
        <v>3.2248790670348399E-3</v>
      </c>
      <c r="DZ75" s="560">
        <v>2.6663011923600002E-3</v>
      </c>
      <c r="EA75" s="560">
        <v>3.96396396396392E-3</v>
      </c>
      <c r="EB75" s="560">
        <v>4.4681535757606899E-3</v>
      </c>
      <c r="EC75" s="560">
        <v>5.8160310516910396E-3</v>
      </c>
      <c r="ED75" s="560">
        <v>5.4026241317211001E-3</v>
      </c>
      <c r="EE75" s="560">
        <v>3.4239898620656E-3</v>
      </c>
      <c r="EF75" s="560">
        <v>5.7438463126449103E-3</v>
      </c>
      <c r="EG75" s="560">
        <v>5.7955615657676596E-3</v>
      </c>
      <c r="EH75" s="560">
        <v>7.1666946771986604E-3</v>
      </c>
      <c r="EI75" s="560">
        <v>8.1169024660603401E-3</v>
      </c>
      <c r="EJ75" s="560">
        <v>6.33719555450463E-3</v>
      </c>
      <c r="EK75" s="560">
        <v>7.7071290944123998E-3</v>
      </c>
      <c r="EL75" s="560">
        <v>7.6715011891992403E-3</v>
      </c>
      <c r="EM75" s="560">
        <v>7.3122758301513704E-3</v>
      </c>
      <c r="EN75" s="560">
        <v>9.4415474030002892E-3</v>
      </c>
      <c r="EO75" s="560">
        <v>7.9650448318238105E-3</v>
      </c>
      <c r="EP75" s="560">
        <v>6.9990065926126598E-3</v>
      </c>
      <c r="EQ75" s="560">
        <v>8.84489484776463E-3</v>
      </c>
      <c r="ER75" s="560">
        <v>7.3227917726934599E-3</v>
      </c>
      <c r="ES75" s="560">
        <v>3.8057626969067999E-3</v>
      </c>
      <c r="ET75" s="560">
        <v>1.00113190544744E-2</v>
      </c>
      <c r="EU75" s="560">
        <v>6.3432998215606799E-3</v>
      </c>
      <c r="EV75" s="560">
        <v>4.2274383453526597E-3</v>
      </c>
      <c r="EW75" s="560">
        <v>4.8448569152257396E-3</v>
      </c>
      <c r="EX75" s="560">
        <v>4.31791882741184E-3</v>
      </c>
      <c r="EY75" s="560">
        <v>3.6272470261908799E-3</v>
      </c>
      <c r="EZ75" s="560">
        <v>7.7491363273982598E-3</v>
      </c>
      <c r="FA75" s="560">
        <v>1.80372136196771E-3</v>
      </c>
      <c r="FB75" s="560">
        <v>2.7375625164527401E-4</v>
      </c>
      <c r="FC75" s="560">
        <v>-1.3789328533383399E-3</v>
      </c>
      <c r="FD75" s="560">
        <v>6.1136291767671701E-4</v>
      </c>
      <c r="FE75" s="560">
        <v>3.6764705882352802E-3</v>
      </c>
      <c r="FF75" s="560">
        <v>2.5294667128477099E-3</v>
      </c>
      <c r="FG75" s="560">
        <v>4.65880776398153E-3</v>
      </c>
      <c r="FH75" s="560">
        <v>3.6368183570751902E-3</v>
      </c>
      <c r="FI75" s="560">
        <v>5.7313730376278302E-3</v>
      </c>
      <c r="FJ75" s="560">
        <v>4.9037826230591301E-3</v>
      </c>
      <c r="FK75" s="560">
        <v>7.22218227021032E-3</v>
      </c>
      <c r="FL75" s="560">
        <v>5.2936496603497299E-3</v>
      </c>
      <c r="FM75" s="560">
        <v>1.2783961201692201E-3</v>
      </c>
      <c r="FN75" s="560">
        <v>5.9784976744656796E-3</v>
      </c>
      <c r="FO75" s="560">
        <v>4.16007735930779E-3</v>
      </c>
      <c r="FP75" s="560">
        <v>6.1590931888855201E-3</v>
      </c>
      <c r="FQ75" s="560">
        <v>4.2470888498964401E-3</v>
      </c>
      <c r="FR75" s="560">
        <v>3.9114464409808498E-3</v>
      </c>
      <c r="FS75" s="560">
        <v>3.0062101973813401E-3</v>
      </c>
      <c r="FT75" s="560">
        <v>5.3732697085617804E-3</v>
      </c>
      <c r="FU75" s="560">
        <v>5.6583605464191099E-3</v>
      </c>
      <c r="FV75" s="560">
        <v>4.0468064358849497E-3</v>
      </c>
      <c r="FW75" s="560">
        <v>5.7009663477880501E-3</v>
      </c>
      <c r="FX75" s="560">
        <v>4.6063813349812603E-3</v>
      </c>
      <c r="FY75" s="560">
        <v>7.2095281123529798E-4</v>
      </c>
      <c r="FZ75" s="560">
        <v>-1.1526934603856E-4</v>
      </c>
      <c r="GA75" s="560">
        <v>5.6776697536795604E-3</v>
      </c>
      <c r="GB75" s="560">
        <v>2.4454782533933602E-3</v>
      </c>
      <c r="GC75" s="560">
        <v>-6.6705419338730602E-5</v>
      </c>
      <c r="GD75" s="560">
        <v>-5.6226889795296697E-4</v>
      </c>
      <c r="GE75" s="560">
        <v>6.7033459517700199E-3</v>
      </c>
      <c r="GF75" s="560">
        <v>3.0120481927711201E-3</v>
      </c>
      <c r="GG75" s="560">
        <v>5.4394016658168001E-3</v>
      </c>
      <c r="GH75" s="560">
        <v>5.0436742744435197E-3</v>
      </c>
      <c r="GI75" s="560">
        <v>3.30819479099498E-3</v>
      </c>
      <c r="GJ75" s="560">
        <v>5.4116485502182501E-3</v>
      </c>
      <c r="GK75" s="560">
        <v>6.6331918993534104E-3</v>
      </c>
      <c r="GL75" s="560">
        <v>6.0188849417437398E-3</v>
      </c>
      <c r="GM75" s="560">
        <v>7.7210187353631303E-3</v>
      </c>
      <c r="GN75" s="560">
        <v>4.45731508043146E-3</v>
      </c>
      <c r="GO75" s="560">
        <v>4.9165363724275003E-3</v>
      </c>
      <c r="GP75" s="560">
        <v>2.7969889649341901E-3</v>
      </c>
      <c r="GQ75" s="560">
        <v>5.7398073577155104E-3</v>
      </c>
      <c r="GR75" s="560">
        <v>3.4063954628953401E-3</v>
      </c>
      <c r="GS75" s="560">
        <v>3.7591980377520398E-3</v>
      </c>
      <c r="GT75" s="560">
        <v>3.9841695662568002E-3</v>
      </c>
      <c r="GU75" s="560">
        <v>-3.7743502914540099E-3</v>
      </c>
      <c r="GV75" s="560">
        <v>8.9847657321919794E-3</v>
      </c>
      <c r="GW75" s="560">
        <v>5.5007720381807798E-3</v>
      </c>
      <c r="GX75" s="560">
        <v>1.0601076685483799E-2</v>
      </c>
      <c r="GY75" s="560">
        <v>1.48584946385095E-2</v>
      </c>
    </row>
    <row r="76" spans="1:207">
      <c r="A76" s="560" t="s">
        <v>676</v>
      </c>
      <c r="B76" s="560">
        <v>1.1084103062712699E-2</v>
      </c>
      <c r="C76" s="560">
        <v>1.1084103062712699E-2</v>
      </c>
      <c r="D76" s="560">
        <v>9.7124723531110107E-3</v>
      </c>
      <c r="E76" s="560">
        <v>1.29523809523808E-2</v>
      </c>
      <c r="F76" s="560">
        <v>9.4960511470478792E-3</v>
      </c>
      <c r="G76" s="560">
        <v>1.1362578001303801E-2</v>
      </c>
      <c r="H76" s="560">
        <v>9.8535776775023898E-3</v>
      </c>
      <c r="I76" s="560">
        <v>6.2009848623016898E-3</v>
      </c>
      <c r="J76" s="560">
        <v>1.05582744245059E-2</v>
      </c>
      <c r="K76" s="560">
        <v>5.7396529303619399E-3</v>
      </c>
      <c r="L76" s="560">
        <v>8.7832716572295907E-3</v>
      </c>
      <c r="M76" s="560">
        <v>8.1764341907539801E-3</v>
      </c>
      <c r="N76" s="560">
        <v>1.20555872166936E-2</v>
      </c>
      <c r="O76" s="560">
        <v>1.9232435242138201E-2</v>
      </c>
      <c r="P76" s="560">
        <v>1.81895452613683E-2</v>
      </c>
      <c r="Q76" s="560">
        <v>2.0452458468987599E-2</v>
      </c>
      <c r="R76" s="560">
        <v>2.9777486910994602E-2</v>
      </c>
      <c r="S76" s="560">
        <v>2.8320622815379799E-2</v>
      </c>
      <c r="T76" s="560">
        <v>2.69612576770057E-2</v>
      </c>
      <c r="U76" s="560">
        <v>2.5425960055666299E-2</v>
      </c>
      <c r="V76" s="560">
        <v>1.8816711293694801E-2</v>
      </c>
      <c r="W76" s="560">
        <v>1.2276785714285801E-2</v>
      </c>
      <c r="X76" s="560">
        <v>1.8707543479034E-2</v>
      </c>
      <c r="Y76" s="560">
        <v>1.6792933701078799E-2</v>
      </c>
      <c r="Z76" s="560">
        <v>1.0987501716797099E-2</v>
      </c>
      <c r="AA76" s="560">
        <v>8.3888058687677809E-3</v>
      </c>
      <c r="AB76" s="560">
        <v>1.5189788151291701E-2</v>
      </c>
      <c r="AC76" s="560">
        <v>1.5791918253599501E-2</v>
      </c>
      <c r="AD76" s="560">
        <v>1.8028610621203301E-2</v>
      </c>
      <c r="AE76" s="560">
        <v>1.7131857555341599E-2</v>
      </c>
      <c r="AF76" s="560">
        <v>1.50454201362602E-2</v>
      </c>
      <c r="AG76" s="560">
        <v>1.4200926012243299E-2</v>
      </c>
      <c r="AH76" s="560">
        <v>1.6422574912678501E-2</v>
      </c>
      <c r="AI76" s="560">
        <v>2.05281244347983E-2</v>
      </c>
      <c r="AJ76" s="560">
        <v>1.7545414266725699E-2</v>
      </c>
      <c r="AK76" s="560">
        <v>1.8897500653139599E-2</v>
      </c>
      <c r="AL76" s="560">
        <v>1.8860398860398801E-2</v>
      </c>
      <c r="AM76" s="560">
        <v>2.7319501146468202E-2</v>
      </c>
      <c r="AN76" s="560">
        <v>2.4796537739187201E-2</v>
      </c>
      <c r="AO76" s="560">
        <v>2.4223107569721E-2</v>
      </c>
      <c r="AP76" s="560">
        <v>3.0003630517089399E-2</v>
      </c>
      <c r="AQ76" s="560">
        <v>2.4471915204310201E-2</v>
      </c>
      <c r="AR76" s="560">
        <v>2.3395836917254401E-2</v>
      </c>
      <c r="AS76" s="560">
        <v>2.47340489397978E-2</v>
      </c>
      <c r="AT76" s="560">
        <v>2.59414618142619E-2</v>
      </c>
      <c r="AU76" s="560">
        <v>1.6788487894015401E-2</v>
      </c>
      <c r="AV76" s="560">
        <v>1.6466359654049099E-2</v>
      </c>
      <c r="AW76" s="560">
        <v>1.53155940594061E-2</v>
      </c>
      <c r="AX76" s="560">
        <v>1.2711956640038199E-2</v>
      </c>
      <c r="AY76" s="560">
        <v>9.6292315959161101E-3</v>
      </c>
      <c r="AZ76" s="560">
        <v>1.5796308517659102E-2</v>
      </c>
      <c r="BA76" s="560">
        <v>1.1023787069055701E-2</v>
      </c>
      <c r="BB76" s="560">
        <v>8.2709728239465097E-3</v>
      </c>
      <c r="BC76" s="560">
        <v>9.1488486842106198E-3</v>
      </c>
      <c r="BD76" s="560">
        <v>1.31404706122031E-2</v>
      </c>
      <c r="BE76" s="560">
        <v>6.5956163281721799E-3</v>
      </c>
      <c r="BF76" s="560">
        <v>1.08074633425226E-2</v>
      </c>
      <c r="BG76" s="560">
        <v>9.6839858495227898E-3</v>
      </c>
      <c r="BH76" s="560">
        <v>7.7120319442540702E-3</v>
      </c>
      <c r="BI76" s="560">
        <v>6.1767962239964698E-3</v>
      </c>
      <c r="BJ76" s="560">
        <v>1.1795139089978901E-2</v>
      </c>
      <c r="BK76" s="560">
        <v>8.1088300389224894E-3</v>
      </c>
      <c r="BL76" s="560">
        <v>7.8354183621325308E-3</v>
      </c>
      <c r="BM76" s="560">
        <v>6.9857843045200204E-3</v>
      </c>
      <c r="BN76" s="560">
        <v>7.08651138504002E-3</v>
      </c>
      <c r="BO76" s="560">
        <v>-1.0554969168380399E-3</v>
      </c>
      <c r="BP76" s="560">
        <v>5.2645237830422102E-3</v>
      </c>
      <c r="BQ76" s="560">
        <v>6.0483127420247803E-3</v>
      </c>
      <c r="BR76" s="560">
        <v>9.4211664650463208E-3</v>
      </c>
      <c r="BS76" s="560">
        <v>9.6419233004068107E-3</v>
      </c>
      <c r="BT76" s="560">
        <v>9.4779058683884792E-3</v>
      </c>
      <c r="BU76" s="560">
        <v>8.6406556208800094E-3</v>
      </c>
      <c r="BV76" s="560">
        <v>7.8954340722423594E-3</v>
      </c>
      <c r="BW76" s="560">
        <v>1.10406224808104E-2</v>
      </c>
      <c r="BX76" s="560">
        <v>1.23240657283505E-2</v>
      </c>
      <c r="BY76" s="560">
        <v>1.01022207763299E-2</v>
      </c>
      <c r="BZ76" s="560">
        <v>1.14928889868289E-2</v>
      </c>
      <c r="CA76" s="560">
        <v>1.34738817851219E-2</v>
      </c>
      <c r="CB76" s="560">
        <v>5.9032658123190397E-3</v>
      </c>
      <c r="CC76" s="560">
        <v>7.8577064702787195E-3</v>
      </c>
      <c r="CD76" s="560">
        <v>1.4500081552764501E-2</v>
      </c>
      <c r="CE76" s="560">
        <v>9.0837473271274706E-3</v>
      </c>
      <c r="CF76" s="560">
        <v>1.2698362118411801E-2</v>
      </c>
      <c r="CG76" s="560">
        <v>1.3231384024795101E-2</v>
      </c>
      <c r="CH76" s="560">
        <v>5.2482842147758601E-3</v>
      </c>
      <c r="CI76" s="560">
        <v>5.4680259499535503E-3</v>
      </c>
      <c r="CJ76" s="560">
        <v>6.7901803545642502E-3</v>
      </c>
      <c r="CK76" s="560">
        <v>7.26318359375E-3</v>
      </c>
      <c r="CL76" s="560">
        <v>6.2564382233532001E-3</v>
      </c>
      <c r="CM76" s="560">
        <v>6.6541211893114101E-3</v>
      </c>
      <c r="CN76" s="560">
        <v>6.3858106390295398E-3</v>
      </c>
      <c r="CO76" s="560">
        <v>6.9694177787025203E-3</v>
      </c>
      <c r="CP76" s="560">
        <v>5.9619556395083002E-3</v>
      </c>
      <c r="CQ76" s="560">
        <v>6.7041236962166496E-3</v>
      </c>
      <c r="CR76" s="560">
        <v>4.3570762415483504E-3</v>
      </c>
      <c r="CS76" s="560">
        <v>5.7600510714854699E-3</v>
      </c>
      <c r="CT76" s="560">
        <v>3.5776110790537402E-3</v>
      </c>
      <c r="CU76" s="560">
        <v>5.5772769089237296E-3</v>
      </c>
      <c r="CV76" s="560">
        <v>7.1902338612841498E-3</v>
      </c>
      <c r="CW76" s="560">
        <v>4.6835748449451896E-3</v>
      </c>
      <c r="CX76" s="560">
        <v>4.9018915368206403E-3</v>
      </c>
      <c r="CY76" s="560">
        <v>5.8057804768332196E-3</v>
      </c>
      <c r="CZ76" s="560">
        <v>4.0950956687024797E-3</v>
      </c>
      <c r="DA76" s="560">
        <v>4.3985412432838702E-3</v>
      </c>
      <c r="DB76" s="560">
        <v>5.5572493694391297E-3</v>
      </c>
      <c r="DC76" s="560">
        <v>6.6842156038533504E-3</v>
      </c>
      <c r="DD76" s="560">
        <v>4.2713980614423903E-3</v>
      </c>
      <c r="DE76" s="560">
        <v>6.8160750313539503E-3</v>
      </c>
      <c r="DF76" s="560">
        <v>4.4139948006933797E-3</v>
      </c>
      <c r="DG76" s="560">
        <v>2.50734679571862E-3</v>
      </c>
      <c r="DH76" s="560">
        <v>2.6355421686745698E-3</v>
      </c>
      <c r="DI76" s="560">
        <v>3.1382436564562099E-3</v>
      </c>
      <c r="DJ76" s="560">
        <v>8.0216048557346694E-5</v>
      </c>
      <c r="DK76" s="560">
        <v>1.80471632533008E-3</v>
      </c>
      <c r="DL76" s="560">
        <v>3.0825071057794E-3</v>
      </c>
      <c r="DM76" s="560">
        <v>2.6473327125182702E-3</v>
      </c>
      <c r="DN76" s="560">
        <v>1.9636720667648398E-3</v>
      </c>
      <c r="DO76" s="560">
        <v>5.6940821272031296E-3</v>
      </c>
      <c r="DP76" s="560">
        <v>5.5038382029572999E-3</v>
      </c>
      <c r="DQ76" s="560">
        <v>6.06298697047092E-3</v>
      </c>
      <c r="DR76" s="560">
        <v>8.1220388400062796E-3</v>
      </c>
      <c r="DS76" s="560">
        <v>4.7642410783452797E-3</v>
      </c>
      <c r="DT76" s="560">
        <v>6.4507009676051403E-3</v>
      </c>
      <c r="DU76" s="560">
        <v>5.6560652681845198E-3</v>
      </c>
      <c r="DV76" s="560">
        <v>7.4016707716526601E-3</v>
      </c>
      <c r="DW76" s="560">
        <v>4.6881498191533302E-3</v>
      </c>
      <c r="DX76" s="560">
        <v>5.0174985261097803E-4</v>
      </c>
      <c r="DY76" s="560">
        <v>4.1373603640870699E-4</v>
      </c>
      <c r="DZ76" s="560">
        <v>2.0051632954858302E-3</v>
      </c>
      <c r="EA76" s="560">
        <v>7.41676463966789E-3</v>
      </c>
      <c r="EB76" s="560">
        <v>5.1771015680286397E-3</v>
      </c>
      <c r="EC76" s="560">
        <v>4.6687416629613799E-3</v>
      </c>
      <c r="ED76" s="560">
        <v>7.6467261685231299E-3</v>
      </c>
      <c r="EE76" s="560">
        <v>1.0004392172173701E-3</v>
      </c>
      <c r="EF76" s="560">
        <v>6.5938619798648901E-3</v>
      </c>
      <c r="EG76" s="560">
        <v>4.9160279462867598E-3</v>
      </c>
      <c r="EH76" s="560">
        <v>7.7114937404358904E-3</v>
      </c>
      <c r="EI76" s="560">
        <v>6.7317924742624803E-3</v>
      </c>
      <c r="EJ76" s="560">
        <v>4.9170981994395299E-3</v>
      </c>
      <c r="EK76" s="560">
        <v>8.5450892329512803E-3</v>
      </c>
      <c r="EL76" s="560">
        <v>5.8125227051668603E-3</v>
      </c>
      <c r="EM76" s="560">
        <v>6.3148819163685302E-3</v>
      </c>
      <c r="EN76" s="560">
        <v>1.08022368619098E-2</v>
      </c>
      <c r="EO76" s="560">
        <v>7.9606890864105696E-3</v>
      </c>
      <c r="EP76" s="560">
        <v>5.1932408322823403E-3</v>
      </c>
      <c r="EQ76" s="560">
        <v>8.772723161798E-3</v>
      </c>
      <c r="ER76" s="560">
        <v>7.1947283485744896E-3</v>
      </c>
      <c r="ES76" s="560">
        <v>-1.6467498942963599E-3</v>
      </c>
      <c r="ET76" s="560">
        <v>9.1389340882241897E-3</v>
      </c>
      <c r="EU76" s="560">
        <v>8.4929207253770008E-3</v>
      </c>
      <c r="EV76" s="560">
        <v>5.6507693150085201E-3</v>
      </c>
      <c r="EW76" s="560">
        <v>1.0170857335758E-2</v>
      </c>
      <c r="EX76" s="560">
        <v>8.1388454697353101E-3</v>
      </c>
      <c r="EY76" s="560">
        <v>9.7305389221558104E-3</v>
      </c>
      <c r="EZ76" s="560">
        <v>1.06745737583394E-2</v>
      </c>
      <c r="FA76" s="560">
        <v>-1.59684821559547E-2</v>
      </c>
      <c r="FB76" s="560">
        <v>-6.7508571671954804E-3</v>
      </c>
      <c r="FC76" s="560">
        <v>3.9772727272726601E-3</v>
      </c>
      <c r="FD76" s="560">
        <v>6.88727296024605E-3</v>
      </c>
      <c r="FE76" s="560">
        <v>7.7203698990413504E-3</v>
      </c>
      <c r="FF76" s="560">
        <v>3.8621821855531202E-3</v>
      </c>
      <c r="FG76" s="560">
        <v>1.5515090522166799E-3</v>
      </c>
      <c r="FH76" s="560">
        <v>1.925915071332E-3</v>
      </c>
      <c r="FI76" s="560">
        <v>6.4038945707927102E-3</v>
      </c>
      <c r="FJ76" s="560">
        <v>8.3976914133865304E-3</v>
      </c>
      <c r="FK76" s="560">
        <v>9.8306655000257592E-3</v>
      </c>
      <c r="FL76" s="560">
        <v>4.6279306829766203E-3</v>
      </c>
      <c r="FM76" s="560">
        <v>3.2976845181322801E-3</v>
      </c>
      <c r="FN76" s="560">
        <v>6.6242579314110799E-3</v>
      </c>
      <c r="FO76" s="560">
        <v>2.4212831796171E-3</v>
      </c>
      <c r="FP76" s="560">
        <v>2.90653971435728E-3</v>
      </c>
      <c r="FQ76" s="560">
        <v>5.6063558686854104E-3</v>
      </c>
      <c r="FR76" s="560">
        <v>3.60741756603655E-3</v>
      </c>
      <c r="FS76" s="560">
        <v>7.1294893503259804E-4</v>
      </c>
      <c r="FT76" s="560">
        <v>4.0569557000227404E-3</v>
      </c>
      <c r="FU76" s="560">
        <v>4.1883888007410199E-3</v>
      </c>
      <c r="FV76" s="560">
        <v>4.8088246839914604E-3</v>
      </c>
      <c r="FW76" s="560">
        <v>5.0104506475494599E-3</v>
      </c>
      <c r="FX76" s="560">
        <v>2.8280158213393998E-3</v>
      </c>
      <c r="FY76" s="560">
        <v>-1.15321252059308E-3</v>
      </c>
      <c r="FZ76" s="560">
        <v>-4.1524774184784601E-3</v>
      </c>
      <c r="GA76" s="560">
        <v>4.8517677776371802E-3</v>
      </c>
      <c r="GB76" s="560">
        <v>2.4141708922735799E-3</v>
      </c>
      <c r="GC76" s="560">
        <v>-9.8655575974471209E-4</v>
      </c>
      <c r="GD76" s="560">
        <v>5.3249167376656604E-4</v>
      </c>
      <c r="GE76" s="560">
        <v>6.2800576720243298E-3</v>
      </c>
      <c r="GF76" s="560">
        <v>3.7502884837294901E-3</v>
      </c>
      <c r="GG76" s="560">
        <v>4.7326167346859504E-3</v>
      </c>
      <c r="GH76" s="560">
        <v>5.50173538273779E-3</v>
      </c>
      <c r="GI76" s="560">
        <v>2.8259034830682198E-3</v>
      </c>
      <c r="GJ76" s="560">
        <v>3.7351892653496601E-3</v>
      </c>
      <c r="GK76" s="560">
        <v>6.6889001940722004E-3</v>
      </c>
      <c r="GL76" s="560">
        <v>6.56023059070154E-3</v>
      </c>
      <c r="GM76" s="560">
        <v>5.8294671662466602E-3</v>
      </c>
      <c r="GN76" s="560">
        <v>3.3461510019967599E-3</v>
      </c>
      <c r="GO76" s="560">
        <v>4.0535809702799703E-3</v>
      </c>
      <c r="GP76" s="560">
        <v>1.0460059090158201E-3</v>
      </c>
      <c r="GQ76" s="560">
        <v>6.7369385884510401E-3</v>
      </c>
      <c r="GR76" s="560">
        <v>2.78599717758476E-3</v>
      </c>
      <c r="GS76" s="560">
        <v>4.2763366956899401E-3</v>
      </c>
      <c r="GT76" s="560">
        <v>3.1280512060174498E-3</v>
      </c>
      <c r="GU76" s="560">
        <v>-4.0826258584330003E-3</v>
      </c>
      <c r="GV76" s="560">
        <v>9.0674630107234807E-3</v>
      </c>
      <c r="GW76" s="560">
        <v>3.7755477234613401E-3</v>
      </c>
      <c r="GX76" s="560">
        <v>9.4793081266528693E-3</v>
      </c>
      <c r="GY76" s="560">
        <v>1.5806848454274401E-2</v>
      </c>
    </row>
    <row r="77" spans="1:207">
      <c r="A77" s="560" t="s">
        <v>677</v>
      </c>
      <c r="B77" s="560">
        <v>1.32057313943541E-2</v>
      </c>
      <c r="C77" s="560">
        <v>1.32057313943541E-2</v>
      </c>
      <c r="D77" s="560">
        <v>1.7043955464091501E-2</v>
      </c>
      <c r="E77" s="560">
        <v>1.2711424717235501E-2</v>
      </c>
      <c r="F77" s="560">
        <v>3.1661458066499303E-2</v>
      </c>
      <c r="G77" s="560">
        <v>1.86720961414313E-2</v>
      </c>
      <c r="H77" s="560">
        <v>1.4478623312046E-2</v>
      </c>
      <c r="I77" s="560">
        <v>2.03267659778954E-2</v>
      </c>
      <c r="J77" s="560">
        <v>4.11623416380162E-2</v>
      </c>
      <c r="K77" s="560">
        <v>1.00873026643145E-2</v>
      </c>
      <c r="L77" s="560">
        <v>8.1952530228392995E-3</v>
      </c>
      <c r="M77" s="560">
        <v>2.17652023275441E-2</v>
      </c>
      <c r="N77" s="560">
        <v>1.60848584967179E-2</v>
      </c>
      <c r="O77" s="560">
        <v>1.74132546100201E-2</v>
      </c>
      <c r="P77" s="560">
        <v>2.0689655172413599E-2</v>
      </c>
      <c r="Q77" s="560">
        <v>2.13826631509559E-2</v>
      </c>
      <c r="R77" s="560">
        <v>1.0245653664636501E-2</v>
      </c>
      <c r="S77" s="560">
        <v>1.8087442603314002E-2</v>
      </c>
      <c r="T77" s="560">
        <v>2.9178759118362301E-2</v>
      </c>
      <c r="U77" s="560">
        <v>3.32291746055942E-2</v>
      </c>
      <c r="V77" s="560">
        <v>1.8182488751198499E-2</v>
      </c>
      <c r="W77" s="560">
        <v>1.4452856159669699E-2</v>
      </c>
      <c r="X77" s="560">
        <v>1.34971077626223E-2</v>
      </c>
      <c r="Y77" s="560">
        <v>2.29706877113867E-2</v>
      </c>
      <c r="Z77" s="560">
        <v>1.4602562336409899E-2</v>
      </c>
      <c r="AA77" s="560">
        <v>8.3842498302784101E-3</v>
      </c>
      <c r="AB77" s="560">
        <v>1.1445113946208001E-2</v>
      </c>
      <c r="AC77" s="560">
        <v>2.67580790095516E-2</v>
      </c>
      <c r="AD77" s="560">
        <v>1.41324430326408E-2</v>
      </c>
      <c r="AE77" s="560">
        <v>1.1378527823057601E-2</v>
      </c>
      <c r="AF77" s="560">
        <v>4.9300003160255299E-3</v>
      </c>
      <c r="AG77" s="560">
        <v>2.89946224724047E-2</v>
      </c>
      <c r="AH77" s="560">
        <v>1.14299685217445E-2</v>
      </c>
      <c r="AI77" s="560">
        <v>1.9640429067834898E-2</v>
      </c>
      <c r="AJ77" s="560">
        <v>1.6713587198103501E-2</v>
      </c>
      <c r="AK77" s="560">
        <v>1.7254947681366602E-2</v>
      </c>
      <c r="AL77" s="560">
        <v>1.8423540872754201E-2</v>
      </c>
      <c r="AM77" s="560">
        <v>1.51080351114115E-2</v>
      </c>
      <c r="AN77" s="560">
        <v>2.3336382029322901E-2</v>
      </c>
      <c r="AO77" s="560">
        <v>2.2018795872491299E-2</v>
      </c>
      <c r="AP77" s="560">
        <v>1.97689209243164E-2</v>
      </c>
      <c r="AQ77" s="560">
        <v>3.8667428927810402E-2</v>
      </c>
      <c r="AR77" s="560">
        <v>1.0132599449587099E-2</v>
      </c>
      <c r="AS77" s="560">
        <v>3.0092879256966101E-2</v>
      </c>
      <c r="AT77" s="560">
        <v>1.9980764606876599E-2</v>
      </c>
      <c r="AU77" s="560">
        <v>2.32432050163833E-2</v>
      </c>
      <c r="AV77" s="560">
        <v>2.19549842191353E-2</v>
      </c>
      <c r="AW77" s="560">
        <v>1.9138863841298599E-2</v>
      </c>
      <c r="AX77" s="560">
        <v>1.5992390895618099E-2</v>
      </c>
      <c r="AY77" s="560">
        <v>1.9790124531916801E-2</v>
      </c>
      <c r="AZ77" s="560">
        <v>8.4114344271044601E-3</v>
      </c>
      <c r="BA77" s="560">
        <v>1.17921033132211E-2</v>
      </c>
      <c r="BB77" s="560">
        <v>1.8831603615667701E-3</v>
      </c>
      <c r="BC77" s="560">
        <v>7.7273296854769597E-3</v>
      </c>
      <c r="BD77" s="560">
        <v>1.1066898781397499E-2</v>
      </c>
      <c r="BE77" s="560">
        <v>6.5387611199934099E-3</v>
      </c>
      <c r="BF77" s="560">
        <v>1.2951837898381099E-2</v>
      </c>
      <c r="BG77" s="560">
        <v>9.9716531633864403E-3</v>
      </c>
      <c r="BH77" s="560">
        <v>1.48695184823935E-2</v>
      </c>
      <c r="BI77" s="560">
        <v>1.23175898321042E-2</v>
      </c>
      <c r="BJ77" s="560">
        <v>-3.9913198480974197E-3</v>
      </c>
      <c r="BK77" s="560">
        <v>2.3538108392016101E-3</v>
      </c>
      <c r="BL77" s="560">
        <v>5.3370077823275998E-3</v>
      </c>
      <c r="BM77" s="560">
        <v>6.5634531485272403E-3</v>
      </c>
      <c r="BN77" s="560">
        <v>-2.53154846381043E-3</v>
      </c>
      <c r="BO77" s="560">
        <v>-2.48029225149005E-3</v>
      </c>
      <c r="BP77" s="560">
        <v>1.4070661706597799E-3</v>
      </c>
      <c r="BQ77" s="560">
        <v>1.13561997151312E-3</v>
      </c>
      <c r="BR77" s="560">
        <v>-1.71111068386742E-3</v>
      </c>
      <c r="BS77" s="560">
        <v>4.7569524689932098E-3</v>
      </c>
      <c r="BT77" s="560">
        <v>7.2262367982212101E-3</v>
      </c>
      <c r="BU77" s="560">
        <v>2.0933241988276802E-3</v>
      </c>
      <c r="BV77" s="560">
        <v>1.36351551521137E-2</v>
      </c>
      <c r="BW77" s="560">
        <v>9.8358812949641498E-3</v>
      </c>
      <c r="BX77" s="560">
        <v>5.7141796998201296E-3</v>
      </c>
      <c r="BY77" s="560">
        <v>8.0429448984487006E-3</v>
      </c>
      <c r="BZ77" s="560">
        <v>7.42977399579092E-3</v>
      </c>
      <c r="CA77" s="560">
        <v>7.3386496158107696E-3</v>
      </c>
      <c r="CB77" s="560">
        <v>4.9770083851772302E-3</v>
      </c>
      <c r="CC77" s="560">
        <v>3.5886669896465499E-3</v>
      </c>
      <c r="CD77" s="560">
        <v>7.0086356403427103E-3</v>
      </c>
      <c r="CE77" s="560">
        <v>1.7168829785345199E-2</v>
      </c>
      <c r="CF77" s="560">
        <v>1.34403909931913E-3</v>
      </c>
      <c r="CG77" s="560">
        <v>1.19057995014555E-2</v>
      </c>
      <c r="CH77" s="560">
        <v>8.9750215331609907E-3</v>
      </c>
      <c r="CI77" s="560">
        <v>4.9341824452373596E-3</v>
      </c>
      <c r="CJ77" s="560">
        <v>1.2844036697247801E-2</v>
      </c>
      <c r="CK77" s="560">
        <v>1.0114734299516899E-2</v>
      </c>
      <c r="CL77" s="560">
        <v>1.4613328019394999E-3</v>
      </c>
      <c r="CM77" s="560">
        <v>3.6480010612367502E-3</v>
      </c>
      <c r="CN77" s="560">
        <v>8.7233796487518108E-3</v>
      </c>
      <c r="CO77" s="560">
        <v>6.2894111866349496E-3</v>
      </c>
      <c r="CP77" s="560">
        <v>2.49027490681808E-3</v>
      </c>
      <c r="CQ77" s="560">
        <v>4.3999220678010396E-3</v>
      </c>
      <c r="CR77" s="560">
        <v>7.2418085123580099E-3</v>
      </c>
      <c r="CS77" s="560">
        <v>8.9711286931681792E-3</v>
      </c>
      <c r="CT77" s="560">
        <v>4.58088118339428E-3</v>
      </c>
      <c r="CU77" s="560">
        <v>8.3916526805789503E-3</v>
      </c>
      <c r="CV77" s="560">
        <v>5.7467654817233704E-3</v>
      </c>
      <c r="CW77" s="560">
        <v>8.2118212757984494E-3</v>
      </c>
      <c r="CX77" s="560">
        <v>8.4236605760297199E-3</v>
      </c>
      <c r="CY77" s="560">
        <v>6.6642098151221702E-3</v>
      </c>
      <c r="CZ77" s="560">
        <v>5.1709936239665603E-3</v>
      </c>
      <c r="DA77" s="560">
        <v>1.3809429867824E-2</v>
      </c>
      <c r="DB77" s="560">
        <v>2.3500531381441801E-3</v>
      </c>
      <c r="DC77" s="560">
        <v>-5.3610895406486199E-3</v>
      </c>
      <c r="DD77" s="560">
        <v>5.8103745965016902E-3</v>
      </c>
      <c r="DE77" s="560">
        <v>3.4332457606875998E-3</v>
      </c>
      <c r="DF77" s="560">
        <v>3.40662283181103E-3</v>
      </c>
      <c r="DG77" s="560">
        <v>6.5825562260011204E-3</v>
      </c>
      <c r="DH77" s="560">
        <v>2.29766551292454E-3</v>
      </c>
      <c r="DI77" s="560">
        <v>7.0094487957561603E-3</v>
      </c>
      <c r="DJ77" s="560">
        <v>-4.1880691104366798E-3</v>
      </c>
      <c r="DK77" s="560">
        <v>6.4330827508389801E-3</v>
      </c>
      <c r="DL77" s="560">
        <v>6.5375655212580597E-3</v>
      </c>
      <c r="DM77" s="560">
        <v>3.2113874061536801E-3</v>
      </c>
      <c r="DN77" s="560">
        <v>2.9703969661576402E-3</v>
      </c>
      <c r="DO77" s="560">
        <v>8.4103684747760497E-3</v>
      </c>
      <c r="DP77" s="560">
        <v>9.0815773716175201E-3</v>
      </c>
      <c r="DQ77" s="560">
        <v>1.22917814606027E-2</v>
      </c>
      <c r="DR77" s="560">
        <v>9.7419363843178602E-3</v>
      </c>
      <c r="DS77" s="560">
        <v>3.84259195267256E-3</v>
      </c>
      <c r="DT77" s="560">
        <v>7.16006884681586E-3</v>
      </c>
      <c r="DU77" s="560">
        <v>4.5252580490806604E-3</v>
      </c>
      <c r="DV77" s="560">
        <v>1.7012357776688999E-3</v>
      </c>
      <c r="DW77" s="560">
        <v>5.2580807325988098E-3</v>
      </c>
      <c r="DX77" s="560">
        <v>6.4064442882629802E-3</v>
      </c>
      <c r="DY77" s="560">
        <v>6.4731003733446996E-3</v>
      </c>
      <c r="DZ77" s="560">
        <v>6.4848420153715801E-3</v>
      </c>
      <c r="EA77" s="560">
        <v>9.4524724910511893E-3</v>
      </c>
      <c r="EB77" s="560">
        <v>8.5891020842361297E-3</v>
      </c>
      <c r="EC77" s="560">
        <v>1.85293696368347E-2</v>
      </c>
      <c r="ED77" s="560">
        <v>1.11480439785221E-2</v>
      </c>
      <c r="EE77" s="560">
        <v>7.1056491174834599E-3</v>
      </c>
      <c r="EF77" s="560">
        <v>9.0516483792402198E-3</v>
      </c>
      <c r="EG77" s="560">
        <v>7.4898911353034102E-3</v>
      </c>
      <c r="EH77" s="560">
        <v>8.5085888585647602E-3</v>
      </c>
      <c r="EI77" s="560">
        <v>8.6817035241104606E-3</v>
      </c>
      <c r="EJ77" s="560">
        <v>9.1532625189680895E-3</v>
      </c>
      <c r="EK77" s="560">
        <v>9.7318625269160498E-3</v>
      </c>
      <c r="EL77" s="560">
        <v>1.3164478543687101E-2</v>
      </c>
      <c r="EM77" s="560">
        <v>9.0189668755804604E-3</v>
      </c>
      <c r="EN77" s="560">
        <v>1.0441673464631099E-2</v>
      </c>
      <c r="EO77" s="560">
        <v>7.1852005628214597E-3</v>
      </c>
      <c r="EP77" s="560">
        <v>8.4164481443735895E-3</v>
      </c>
      <c r="EQ77" s="560">
        <v>6.9608466569768303E-3</v>
      </c>
      <c r="ER77" s="560">
        <v>7.4089109915760299E-3</v>
      </c>
      <c r="ES77" s="560">
        <v>5.2051850359326997E-3</v>
      </c>
      <c r="ET77" s="560">
        <v>8.5524337687501503E-3</v>
      </c>
      <c r="EU77" s="560">
        <v>7.9940817295483003E-3</v>
      </c>
      <c r="EV77" s="560">
        <v>6.8900548794514904E-3</v>
      </c>
      <c r="EW77" s="560">
        <v>8.0178416013925204E-3</v>
      </c>
      <c r="EX77" s="560">
        <v>8.4289368315399998E-3</v>
      </c>
      <c r="EY77" s="560">
        <v>1.02420856610801E-2</v>
      </c>
      <c r="EZ77" s="560">
        <v>7.5003972668044004E-3</v>
      </c>
      <c r="FA77" s="560">
        <v>-4.7632566795998699E-3</v>
      </c>
      <c r="FB77" s="560">
        <v>-8.3888008452193095E-3</v>
      </c>
      <c r="FC77" s="560">
        <v>1.81128537333874E-4</v>
      </c>
      <c r="FD77" s="560">
        <v>3.0573221267029501E-3</v>
      </c>
      <c r="FE77" s="560">
        <v>7.6890399320306297E-3</v>
      </c>
      <c r="FF77" s="560">
        <v>6.3656675519581096E-3</v>
      </c>
      <c r="FG77" s="560">
        <v>7.6658847184987201E-3</v>
      </c>
      <c r="FH77" s="560">
        <v>3.97006859280813E-3</v>
      </c>
      <c r="FI77" s="560">
        <v>8.1364775056416098E-3</v>
      </c>
      <c r="FJ77" s="560">
        <v>8.9846798373516296E-3</v>
      </c>
      <c r="FK77" s="560">
        <v>9.0471489777432801E-3</v>
      </c>
      <c r="FL77" s="560">
        <v>3.4795062126835598E-3</v>
      </c>
      <c r="FM77" s="560">
        <v>-1.3367237203131301E-3</v>
      </c>
      <c r="FN77" s="560">
        <v>3.4620184372609101E-3</v>
      </c>
      <c r="FO77" s="560">
        <v>2.2064428130139598E-3</v>
      </c>
      <c r="FP77" s="560">
        <v>1.9213833960451999E-3</v>
      </c>
      <c r="FQ77" s="560">
        <v>1.2385137834598501E-3</v>
      </c>
      <c r="FR77" s="560">
        <v>-4.9878296955352397E-5</v>
      </c>
      <c r="FS77" s="560">
        <v>1.9752790829916699E-3</v>
      </c>
      <c r="FT77" s="560">
        <v>3.23585929488135E-3</v>
      </c>
      <c r="FU77" s="560">
        <v>1.5214068795776199E-2</v>
      </c>
      <c r="FV77" s="560">
        <v>-2.5807712986949398E-3</v>
      </c>
      <c r="FW77" s="560">
        <v>4.4202252256666501E-3</v>
      </c>
      <c r="FX77" s="560">
        <v>4.6739915302198599E-3</v>
      </c>
      <c r="FY77" s="560">
        <v>1.3403133225202699E-3</v>
      </c>
      <c r="FZ77" s="560">
        <v>-1.6101029107944401E-3</v>
      </c>
      <c r="GA77" s="560">
        <v>1.9624415882175698E-3</v>
      </c>
      <c r="GB77" s="560">
        <v>1.53197265719696E-3</v>
      </c>
      <c r="GC77" s="560">
        <v>-7.9385824789679504E-4</v>
      </c>
      <c r="GD77" s="560">
        <v>-2.4997335555317899E-3</v>
      </c>
      <c r="GE77" s="560">
        <v>5.3810962283760101E-3</v>
      </c>
      <c r="GF77" s="560">
        <v>3.8837952988686202E-3</v>
      </c>
      <c r="GG77" s="560">
        <v>4.8215265280195903E-3</v>
      </c>
      <c r="GH77" s="560">
        <v>5.2485394119337102E-3</v>
      </c>
      <c r="GI77" s="560">
        <v>3.7919929876712999E-3</v>
      </c>
      <c r="GJ77" s="560">
        <v>4.7837807054178496E-3</v>
      </c>
      <c r="GK77" s="560">
        <v>7.3020971093897798E-3</v>
      </c>
      <c r="GL77" s="560">
        <v>9.5842750368084796E-3</v>
      </c>
      <c r="GM77" s="560">
        <v>7.3568343318934897E-3</v>
      </c>
      <c r="GN77" s="560">
        <v>5.7724049535716696E-3</v>
      </c>
      <c r="GO77" s="560">
        <v>7.8387868675107199E-3</v>
      </c>
      <c r="GP77" s="560">
        <v>1.0461392911724101E-2</v>
      </c>
      <c r="GQ77" s="560">
        <v>-6.9770791695925602E-3</v>
      </c>
      <c r="GR77" s="560">
        <v>3.3543965259330601E-3</v>
      </c>
      <c r="GS77" s="560">
        <v>3.5690728542643298E-3</v>
      </c>
      <c r="GT77" s="560">
        <v>2.9891597940001598E-3</v>
      </c>
      <c r="GU77" s="560">
        <v>3.94973070017901E-4</v>
      </c>
      <c r="GV77" s="560">
        <v>7.4028211478411902E-3</v>
      </c>
      <c r="GW77" s="560">
        <v>6.1459530235417103E-3</v>
      </c>
      <c r="GX77" s="560">
        <v>9.7911631653961901E-3</v>
      </c>
      <c r="GY77" s="560">
        <v>9.8627975277254497E-3</v>
      </c>
    </row>
    <row r="78" spans="1:207">
      <c r="A78" s="560" t="s">
        <v>678</v>
      </c>
      <c r="B78" s="560">
        <v>2.12315774113527E-2</v>
      </c>
      <c r="C78" s="560">
        <v>2.12315774113527E-2</v>
      </c>
      <c r="D78" s="560">
        <v>1.8075301850396502E-2</v>
      </c>
      <c r="E78" s="560">
        <v>1.8947368421052602E-2</v>
      </c>
      <c r="F78" s="560">
        <v>2.26584022038567E-2</v>
      </c>
      <c r="G78" s="560">
        <v>1.8115698026803101E-2</v>
      </c>
      <c r="H78" s="560">
        <v>1.4089165233496501E-2</v>
      </c>
      <c r="I78" s="560">
        <v>1.0892961972474E-2</v>
      </c>
      <c r="J78" s="560">
        <v>2.23899858046199E-2</v>
      </c>
      <c r="K78" s="560">
        <v>1.1801830230356599E-2</v>
      </c>
      <c r="L78" s="560">
        <v>1.5219560878243501E-2</v>
      </c>
      <c r="M78" s="560">
        <v>1.37625952322438E-2</v>
      </c>
      <c r="N78" s="560">
        <v>1.9696969696969501E-2</v>
      </c>
      <c r="O78" s="560">
        <v>1.7771173848439799E-2</v>
      </c>
      <c r="P78" s="560">
        <v>1.3431441252044001E-2</v>
      </c>
      <c r="Q78" s="560">
        <v>1.8958165264492299E-2</v>
      </c>
      <c r="R78" s="560">
        <v>2.9010914437595601E-2</v>
      </c>
      <c r="S78" s="560">
        <v>3.4787865464937402E-2</v>
      </c>
      <c r="T78" s="560">
        <v>3.6486271177439002E-2</v>
      </c>
      <c r="U78" s="560">
        <v>2.9411764705882502E-2</v>
      </c>
      <c r="V78" s="560">
        <v>2.0109507217521201E-2</v>
      </c>
      <c r="W78" s="560">
        <v>1.9810676295501001E-2</v>
      </c>
      <c r="X78" s="560">
        <v>1.2775119617225E-2</v>
      </c>
      <c r="Y78" s="560">
        <v>1.28029479850709E-2</v>
      </c>
      <c r="Z78" s="560">
        <v>1.1288366452094399E-2</v>
      </c>
      <c r="AA78" s="560">
        <v>1.2130996309963201E-2</v>
      </c>
      <c r="AB78" s="560">
        <v>7.4283370550973799E-3</v>
      </c>
      <c r="AC78" s="560">
        <v>1.19424590608883E-2</v>
      </c>
      <c r="AD78" s="560">
        <v>1.88645507375951E-2</v>
      </c>
      <c r="AE78" s="560">
        <v>1.79010179010177E-2</v>
      </c>
      <c r="AF78" s="560">
        <v>1.7025862068965399E-2</v>
      </c>
      <c r="AG78" s="560">
        <v>1.6867980504344099E-2</v>
      </c>
      <c r="AH78" s="560">
        <v>1.41291209936232E-2</v>
      </c>
      <c r="AI78" s="560">
        <v>1.66858457997698E-2</v>
      </c>
      <c r="AJ78" s="560">
        <v>1.52397121836849E-2</v>
      </c>
      <c r="AK78" s="560">
        <v>1.43340633087798E-2</v>
      </c>
      <c r="AL78" s="560">
        <v>2.3788027477919398E-2</v>
      </c>
      <c r="AM78" s="560">
        <v>2.2890226601740799E-2</v>
      </c>
      <c r="AN78" s="560">
        <v>3.3885598620586203E-2</v>
      </c>
      <c r="AO78" s="560">
        <v>1.95417301138423E-2</v>
      </c>
      <c r="AP78" s="560">
        <v>2.6030368763557701E-2</v>
      </c>
      <c r="AQ78" s="560">
        <v>2.7449485322150101E-2</v>
      </c>
      <c r="AR78" s="560">
        <v>2.8841288581548299E-2</v>
      </c>
      <c r="AS78" s="560">
        <v>2.7213114754098398E-2</v>
      </c>
      <c r="AT78" s="560">
        <v>3.25247366741142E-2</v>
      </c>
      <c r="AU78" s="560">
        <v>2.15153482333303E-2</v>
      </c>
      <c r="AV78" s="560">
        <v>1.35875321531245E-2</v>
      </c>
      <c r="AW78" s="560">
        <v>1.5793873529587499E-2</v>
      </c>
      <c r="AX78" s="560">
        <v>1.68415483643416E-2</v>
      </c>
      <c r="AY78" s="560">
        <v>1.6071222106601901E-2</v>
      </c>
      <c r="AZ78" s="560">
        <v>1.5703231679563098E-2</v>
      </c>
      <c r="BA78" s="560">
        <v>1.2715662110687901E-2</v>
      </c>
      <c r="BB78" s="560">
        <v>7.1906632003981797E-3</v>
      </c>
      <c r="BC78" s="560">
        <v>1.09561205997035E-2</v>
      </c>
      <c r="BD78" s="560">
        <v>9.6694461797539599E-3</v>
      </c>
      <c r="BE78" s="560">
        <v>7.6130524843300903E-3</v>
      </c>
      <c r="BF78" s="560">
        <v>1.44970098248611E-2</v>
      </c>
      <c r="BG78" s="560">
        <v>9.5265664885917402E-3</v>
      </c>
      <c r="BH78" s="560">
        <v>9.3323948802170893E-3</v>
      </c>
      <c r="BI78" s="560">
        <v>9.9176115085617394E-3</v>
      </c>
      <c r="BJ78" s="560">
        <v>1.1789376774160599E-2</v>
      </c>
      <c r="BK78" s="560">
        <v>9.8574461631786292E-3</v>
      </c>
      <c r="BL78" s="560">
        <v>8.2845272062870307E-3</v>
      </c>
      <c r="BM78" s="560">
        <v>9.2590294154153395E-3</v>
      </c>
      <c r="BN78" s="560">
        <v>4.1566235427221701E-3</v>
      </c>
      <c r="BO78" s="560">
        <v>4.4088470864869196E-3</v>
      </c>
      <c r="BP78" s="560">
        <v>8.6570585509790892E-3</v>
      </c>
      <c r="BQ78" s="560">
        <v>1.2716986606063499E-2</v>
      </c>
      <c r="BR78" s="560">
        <v>1.4300038197096999E-2</v>
      </c>
      <c r="BS78" s="560">
        <v>1.22155012121354E-2</v>
      </c>
      <c r="BT78" s="560">
        <v>1.1975073245593699E-2</v>
      </c>
      <c r="BU78" s="560">
        <v>5.9511500195308402E-3</v>
      </c>
      <c r="BV78" s="560">
        <v>5.1393330287803404E-3</v>
      </c>
      <c r="BW78" s="560">
        <v>9.7488921713440001E-3</v>
      </c>
      <c r="BX78" s="560">
        <v>8.4169779898277692E-3</v>
      </c>
      <c r="BY78" s="560">
        <v>1.14488484199249E-2</v>
      </c>
      <c r="BZ78" s="560">
        <v>1.31506365702434E-2</v>
      </c>
      <c r="CA78" s="560">
        <v>1.35679595792408E-2</v>
      </c>
      <c r="CB78" s="560">
        <v>9.3682853459389204E-3</v>
      </c>
      <c r="CC78" s="560">
        <v>1.2921491825613101E-2</v>
      </c>
      <c r="CD78" s="560">
        <v>1.4143706786037E-2</v>
      </c>
      <c r="CE78" s="560">
        <v>1.0319960212201501E-2</v>
      </c>
      <c r="CF78" s="560">
        <v>1.35988841941175E-2</v>
      </c>
      <c r="CG78" s="560">
        <v>1.5743570026509199E-2</v>
      </c>
      <c r="CH78" s="560">
        <v>4.20360593684621E-3</v>
      </c>
      <c r="CI78" s="560">
        <v>6.0508669602825603E-3</v>
      </c>
      <c r="CJ78" s="560">
        <v>8.2427875608841496E-3</v>
      </c>
      <c r="CK78" s="560">
        <v>8.7230338946586699E-3</v>
      </c>
      <c r="CL78" s="560">
        <v>7.1352399418322899E-3</v>
      </c>
      <c r="CM78" s="560">
        <v>1.1936160791637101E-2</v>
      </c>
      <c r="CN78" s="560">
        <v>7.3816182485779702E-3</v>
      </c>
      <c r="CO78" s="560">
        <v>6.8176238409094498E-3</v>
      </c>
      <c r="CP78" s="560">
        <v>5.8148259303723001E-3</v>
      </c>
      <c r="CQ78" s="560">
        <v>5.8931035768901002E-3</v>
      </c>
      <c r="CR78" s="560">
        <v>2.8551299640327001E-3</v>
      </c>
      <c r="CS78" s="560">
        <v>5.0469570361606503E-3</v>
      </c>
      <c r="CT78" s="560">
        <v>8.1670192219258607E-3</v>
      </c>
      <c r="CU78" s="560">
        <v>5.5647795070152802E-3</v>
      </c>
      <c r="CV78" s="560">
        <v>8.7455093079797895E-3</v>
      </c>
      <c r="CW78" s="560">
        <v>8.4898194114684192E-3</v>
      </c>
      <c r="CX78" s="560">
        <v>5.5825069558392802E-3</v>
      </c>
      <c r="CY78" s="560">
        <v>7.5912098047215002E-3</v>
      </c>
      <c r="CZ78" s="560">
        <v>4.1190656410077199E-3</v>
      </c>
      <c r="DA78" s="560">
        <v>3.82167838297431E-3</v>
      </c>
      <c r="DB78" s="560">
        <v>9.98934702502563E-3</v>
      </c>
      <c r="DC78" s="560">
        <v>1.3660021095223099E-3</v>
      </c>
      <c r="DD78" s="560">
        <v>6.3199336924990596E-3</v>
      </c>
      <c r="DE78" s="560">
        <v>7.1725179312949203E-3</v>
      </c>
      <c r="DF78" s="560">
        <v>6.62736813411491E-3</v>
      </c>
      <c r="DG78" s="560">
        <v>3.2326309554033799E-3</v>
      </c>
      <c r="DH78" s="560">
        <v>4.3525204129832903E-3</v>
      </c>
      <c r="DI78" s="560">
        <v>7.8274599388585796E-3</v>
      </c>
      <c r="DJ78" s="560">
        <v>1.34999999999996E-3</v>
      </c>
      <c r="DK78" s="560">
        <v>4.4273564021903898E-3</v>
      </c>
      <c r="DL78" s="560">
        <v>7.4900160737070296E-3</v>
      </c>
      <c r="DM78" s="560">
        <v>8.3554005822463803E-3</v>
      </c>
      <c r="DN78" s="560">
        <v>7.6826463535974998E-3</v>
      </c>
      <c r="DO78" s="560">
        <v>1.35323254232897E-2</v>
      </c>
      <c r="DP78" s="560">
        <v>1.20100935892931E-2</v>
      </c>
      <c r="DQ78" s="560">
        <v>1.14888110343085E-2</v>
      </c>
      <c r="DR78" s="560">
        <v>1.2778107155116099E-2</v>
      </c>
      <c r="DS78" s="560">
        <v>1.0614206707439299E-2</v>
      </c>
      <c r="DT78" s="560">
        <v>1.07313801408493E-2</v>
      </c>
      <c r="DU78" s="560">
        <v>1.2487557687087101E-2</v>
      </c>
      <c r="DV78" s="560">
        <v>1.19462567402508E-2</v>
      </c>
      <c r="DW78" s="560">
        <v>3.9154498351388102E-3</v>
      </c>
      <c r="DX78" s="560">
        <v>2.6245564646199E-3</v>
      </c>
      <c r="DY78" s="560">
        <v>1.9449847179771099E-3</v>
      </c>
      <c r="DZ78" s="560">
        <v>6.0863473158769797E-3</v>
      </c>
      <c r="EA78" s="560">
        <v>8.9945017481249893E-3</v>
      </c>
      <c r="EB78" s="560">
        <v>7.1889692455895399E-3</v>
      </c>
      <c r="EC78" s="560">
        <v>8.3510585145107896E-3</v>
      </c>
      <c r="ED78" s="560">
        <v>1.42420295599976E-2</v>
      </c>
      <c r="EE78" s="560">
        <v>7.2583121632563397E-4</v>
      </c>
      <c r="EF78" s="560">
        <v>6.7090690992272998E-3</v>
      </c>
      <c r="EG78" s="560">
        <v>7.8420505715275403E-3</v>
      </c>
      <c r="EH78" s="560">
        <v>1.2647612763090999E-2</v>
      </c>
      <c r="EI78" s="560">
        <v>1.4281641574238601E-2</v>
      </c>
      <c r="EJ78" s="560">
        <v>1.61953073762264E-2</v>
      </c>
      <c r="EK78" s="560">
        <v>1.7227980980730299E-2</v>
      </c>
      <c r="EL78" s="560">
        <v>8.9860289262084798E-3</v>
      </c>
      <c r="EM78" s="560">
        <v>1.2794353545075399E-2</v>
      </c>
      <c r="EN78" s="560">
        <v>1.5977800866678701E-2</v>
      </c>
      <c r="EO78" s="560">
        <v>1.6337627676689299E-2</v>
      </c>
      <c r="EP78" s="560">
        <v>7.11717570834303E-3</v>
      </c>
      <c r="EQ78" s="560">
        <v>1.53521864681443E-2</v>
      </c>
      <c r="ER78" s="560">
        <v>1.00320401281604E-2</v>
      </c>
      <c r="ES78" s="560">
        <v>1.0573964286138699E-2</v>
      </c>
      <c r="ET78" s="560">
        <v>1.9092629821653401E-2</v>
      </c>
      <c r="EU78" s="560">
        <v>1.0774892424120001E-2</v>
      </c>
      <c r="EV78" s="560">
        <v>1.08768846228471E-2</v>
      </c>
      <c r="EW78" s="560">
        <v>1.45082985209439E-2</v>
      </c>
      <c r="EX78" s="560">
        <v>1.6025819375660801E-2</v>
      </c>
      <c r="EY78" s="560">
        <v>1.39219015280136E-2</v>
      </c>
      <c r="EZ78" s="560">
        <v>1.34174534926432E-2</v>
      </c>
      <c r="FA78" s="560">
        <v>-1.18966399454206E-2</v>
      </c>
      <c r="FB78" s="560">
        <v>-1.2956889483450499E-2</v>
      </c>
      <c r="FC78" s="560">
        <v>2.1969374036789899E-3</v>
      </c>
      <c r="FD78" s="560">
        <v>5.1149500501681501E-3</v>
      </c>
      <c r="FE78" s="560">
        <v>7.3458404314188401E-3</v>
      </c>
      <c r="FF78" s="560">
        <v>9.9097352377259806E-3</v>
      </c>
      <c r="FG78" s="560">
        <v>6.6660978263188798E-3</v>
      </c>
      <c r="FH78" s="560">
        <v>5.2339934098302203E-3</v>
      </c>
      <c r="FI78" s="560">
        <v>8.4425097758149496E-3</v>
      </c>
      <c r="FJ78" s="560">
        <v>1.01590752315057E-2</v>
      </c>
      <c r="FK78" s="560">
        <v>1.2043455768235799E-2</v>
      </c>
      <c r="FL78" s="560">
        <v>5.1628601222730702E-3</v>
      </c>
      <c r="FM78" s="560">
        <v>-1.1696620185316399E-3</v>
      </c>
      <c r="FN78" s="560">
        <v>1.2188912875239301E-2</v>
      </c>
      <c r="FO78" s="560">
        <v>1.00602609631739E-5</v>
      </c>
      <c r="FP78" s="560">
        <v>5.91537393613795E-3</v>
      </c>
      <c r="FQ78" s="560">
        <v>1.21812181218122E-2</v>
      </c>
      <c r="FR78" s="560">
        <v>1.1491186467472899E-2</v>
      </c>
      <c r="FS78" s="560">
        <v>5.2846997684892196E-3</v>
      </c>
      <c r="FT78" s="560">
        <v>7.9193874378109506E-3</v>
      </c>
      <c r="FU78" s="560">
        <v>5.6976486353601504E-3</v>
      </c>
      <c r="FV78" s="560">
        <v>7.9276826626277792E-3</v>
      </c>
      <c r="FW78" s="560">
        <v>3.3953112368634302E-3</v>
      </c>
      <c r="FX78" s="560">
        <v>5.5733540596387696E-3</v>
      </c>
      <c r="FY78" s="560">
        <v>-3.3933452728818198E-4</v>
      </c>
      <c r="FZ78" s="560">
        <v>-8.2788013653421998E-3</v>
      </c>
      <c r="GA78" s="560">
        <v>6.5319084201718204E-3</v>
      </c>
      <c r="GB78" s="560">
        <v>1.0012941254262701E-3</v>
      </c>
      <c r="GC78" s="560">
        <v>-3.3405996093196499E-3</v>
      </c>
      <c r="GD78" s="560">
        <v>-7.43265634616297E-3</v>
      </c>
      <c r="GE78" s="560">
        <v>7.6981780024802902E-3</v>
      </c>
      <c r="GF78" s="560">
        <v>3.2943002925112101E-3</v>
      </c>
      <c r="GG78" s="560">
        <v>4.8969193753833897E-3</v>
      </c>
      <c r="GH78" s="560">
        <v>9.0794711935702193E-3</v>
      </c>
      <c r="GI78" s="560">
        <v>2.9217184170613501E-3</v>
      </c>
      <c r="GJ78" s="560">
        <v>9.0921742357470397E-3</v>
      </c>
      <c r="GK78" s="560">
        <v>1.20535098607089E-2</v>
      </c>
      <c r="GL78" s="560">
        <v>1.18736145935536E-2</v>
      </c>
      <c r="GM78" s="560">
        <v>1.10609338947596E-2</v>
      </c>
      <c r="GN78" s="560">
        <v>9.0307685477069004E-3</v>
      </c>
      <c r="GO78" s="560">
        <v>5.9402281047591403E-3</v>
      </c>
      <c r="GP78" s="560">
        <v>-2.5632725904800599E-3</v>
      </c>
      <c r="GQ78" s="560">
        <v>7.5780167347869699E-3</v>
      </c>
      <c r="GR78" s="560">
        <v>2.0543533139505401E-3</v>
      </c>
      <c r="GS78" s="560">
        <v>2.8927845440172E-3</v>
      </c>
      <c r="GT78" s="560">
        <v>9.4328999454293995E-3</v>
      </c>
      <c r="GU78" s="560">
        <v>-3.8014004256194901E-3</v>
      </c>
      <c r="GV78" s="560">
        <v>4.8754016176686399E-3</v>
      </c>
      <c r="GW78" s="560">
        <v>8.1605362638115207E-3</v>
      </c>
      <c r="GX78" s="560">
        <v>1.53472039180007E-2</v>
      </c>
      <c r="GY78" s="560">
        <v>1.75269645608629E-2</v>
      </c>
    </row>
    <row r="79" spans="1:207">
      <c r="A79" s="560" t="s">
        <v>679</v>
      </c>
      <c r="B79" s="560">
        <v>1.9913023575188999E-2</v>
      </c>
      <c r="C79" s="560">
        <v>1.9913023575188999E-2</v>
      </c>
      <c r="D79" s="560">
        <v>1.7654099341711402E-2</v>
      </c>
      <c r="E79" s="560">
        <v>1.6833284328138898E-2</v>
      </c>
      <c r="F79" s="560">
        <v>2.4651196414371399E-2</v>
      </c>
      <c r="G79" s="560">
        <v>1.8696204317764999E-2</v>
      </c>
      <c r="H79" s="560">
        <v>1.5097998476348899E-2</v>
      </c>
      <c r="I79" s="560">
        <v>9.0741625162038507E-3</v>
      </c>
      <c r="J79" s="560">
        <v>2.5152129817444399E-2</v>
      </c>
      <c r="K79" s="560">
        <v>1.3124917557050499E-2</v>
      </c>
      <c r="L79" s="560">
        <v>1.5558882885228701E-2</v>
      </c>
      <c r="M79" s="560">
        <v>1.2435897435897601E-2</v>
      </c>
      <c r="N79" s="560">
        <v>1.9754337090034199E-2</v>
      </c>
      <c r="O79" s="560">
        <v>1.68881162299763E-2</v>
      </c>
      <c r="P79" s="560">
        <v>1.1600928074246E-2</v>
      </c>
      <c r="Q79" s="560">
        <v>1.6779333655238898E-2</v>
      </c>
      <c r="R79" s="560">
        <v>2.42787605366259E-2</v>
      </c>
      <c r="S79" s="560">
        <v>2.68907563025211E-2</v>
      </c>
      <c r="T79" s="560">
        <v>2.8726226084993398E-2</v>
      </c>
      <c r="U79" s="560">
        <v>2.6113671274961399E-2</v>
      </c>
      <c r="V79" s="560">
        <v>1.99957228400343E-2</v>
      </c>
      <c r="W79" s="560">
        <v>2.4111542090365898E-2</v>
      </c>
      <c r="X79" s="560">
        <v>1.5354693417954699E-2</v>
      </c>
      <c r="Y79" s="560">
        <v>1.45680008065328E-2</v>
      </c>
      <c r="Z79" s="560">
        <v>1.30173398916877E-2</v>
      </c>
      <c r="AA79" s="560">
        <v>1.3046250429153101E-2</v>
      </c>
      <c r="AB79" s="560">
        <v>8.7630113773904394E-3</v>
      </c>
      <c r="AC79" s="560">
        <v>1.31983106162412E-2</v>
      </c>
      <c r="AD79" s="560">
        <v>2.0321159585050302E-2</v>
      </c>
      <c r="AE79" s="560">
        <v>1.9870009285051001E-2</v>
      </c>
      <c r="AF79" s="560">
        <v>1.7889657683903801E-2</v>
      </c>
      <c r="AG79" s="560">
        <v>1.83354948347569E-2</v>
      </c>
      <c r="AH79" s="560">
        <v>1.4536032673137E-2</v>
      </c>
      <c r="AI79" s="560">
        <v>1.6015929356765699E-2</v>
      </c>
      <c r="AJ79" s="560">
        <v>1.4314928425357899E-2</v>
      </c>
      <c r="AK79" s="560">
        <v>1.33988575268817E-2</v>
      </c>
      <c r="AL79" s="560">
        <v>2.4536825962614601E-2</v>
      </c>
      <c r="AM79" s="560">
        <v>2.18455439135887E-2</v>
      </c>
      <c r="AN79" s="560">
        <v>3.5116196207292602E-2</v>
      </c>
      <c r="AO79" s="560">
        <v>1.7211045666641198E-2</v>
      </c>
      <c r="AP79" s="560">
        <v>2.5718153105730199E-2</v>
      </c>
      <c r="AQ79" s="560">
        <v>2.7126099706744799E-2</v>
      </c>
      <c r="AR79" s="560">
        <v>2.7801570306923699E-2</v>
      </c>
      <c r="AS79" s="560">
        <v>2.65981457689504E-2</v>
      </c>
      <c r="AT79" s="560">
        <v>3.3519364112971399E-2</v>
      </c>
      <c r="AU79" s="560">
        <v>2.0912423092027701E-2</v>
      </c>
      <c r="AV79" s="560">
        <v>1.1957044398140699E-2</v>
      </c>
      <c r="AW79" s="560">
        <v>1.53319817536746E-2</v>
      </c>
      <c r="AX79" s="560">
        <v>1.7534007238237701E-2</v>
      </c>
      <c r="AY79" s="560">
        <v>1.5944073097442901E-2</v>
      </c>
      <c r="AZ79" s="560">
        <v>1.65992635963059E-2</v>
      </c>
      <c r="BA79" s="560">
        <v>1.5021968887305399E-2</v>
      </c>
      <c r="BB79" s="560">
        <v>8.5697572389587008E-3</v>
      </c>
      <c r="BC79" s="560">
        <v>1.36589043876694E-2</v>
      </c>
      <c r="BD79" s="560">
        <v>1.17010928649082E-2</v>
      </c>
      <c r="BE79" s="560">
        <v>9.3600656052936805E-3</v>
      </c>
      <c r="BF79" s="560">
        <v>1.7537961562167099E-2</v>
      </c>
      <c r="BG79" s="560">
        <v>1.09030837004405E-2</v>
      </c>
      <c r="BH79" s="560">
        <v>1.07310164505936E-2</v>
      </c>
      <c r="BI79" s="560">
        <v>1.1802748585286999E-2</v>
      </c>
      <c r="BJ79" s="560">
        <v>1.3209758176201E-2</v>
      </c>
      <c r="BK79" s="560">
        <v>1.1434128903375E-2</v>
      </c>
      <c r="BL79" s="560">
        <v>9.2777878843004497E-3</v>
      </c>
      <c r="BM79" s="560">
        <v>1.0067978164589601E-2</v>
      </c>
      <c r="BN79" s="560">
        <v>3.6709409335409201E-3</v>
      </c>
      <c r="BO79" s="560">
        <v>2.9971298671609401E-3</v>
      </c>
      <c r="BP79" s="560">
        <v>8.5593456405581598E-3</v>
      </c>
      <c r="BQ79" s="560">
        <v>1.3182012202777E-2</v>
      </c>
      <c r="BR79" s="560">
        <v>1.61825931800159E-2</v>
      </c>
      <c r="BS79" s="560">
        <v>1.3169125716376E-2</v>
      </c>
      <c r="BT79" s="560">
        <v>1.2685040317727899E-2</v>
      </c>
      <c r="BU79" s="560">
        <v>6.1085757748620103E-3</v>
      </c>
      <c r="BV79" s="560">
        <v>4.4413995133361101E-3</v>
      </c>
      <c r="BW79" s="560">
        <v>1.0772161723545901E-2</v>
      </c>
      <c r="BX79" s="560">
        <v>8.8888888888889496E-3</v>
      </c>
      <c r="BY79" s="560">
        <v>1.29621514403671E-2</v>
      </c>
      <c r="BZ79" s="560">
        <v>1.5164279696714401E-2</v>
      </c>
      <c r="CA79" s="560">
        <v>1.48704721318829E-2</v>
      </c>
      <c r="CB79" s="560">
        <v>9.8346888260254506E-3</v>
      </c>
      <c r="CC79" s="560">
        <v>1.46849626857506E-2</v>
      </c>
      <c r="CD79" s="560">
        <v>1.5852816840652199E-2</v>
      </c>
      <c r="CE79" s="560">
        <v>1.0679632263954599E-2</v>
      </c>
      <c r="CF79" s="560">
        <v>1.4537204319146299E-2</v>
      </c>
      <c r="CG79" s="560">
        <v>1.8925746469540702E-2</v>
      </c>
      <c r="CH79" s="560">
        <v>4.7553243375060301E-3</v>
      </c>
      <c r="CI79" s="560">
        <v>6.2699728975366097E-3</v>
      </c>
      <c r="CJ79" s="560">
        <v>9.5473548802056402E-3</v>
      </c>
      <c r="CK79" s="560">
        <v>1.13683875206563E-2</v>
      </c>
      <c r="CL79" s="560">
        <v>9.4491909130280903E-3</v>
      </c>
      <c r="CM79" s="560">
        <v>1.35925738133313E-2</v>
      </c>
      <c r="CN79" s="560">
        <v>8.5618085618086592E-3</v>
      </c>
      <c r="CO79" s="560">
        <v>7.3063716138877001E-3</v>
      </c>
      <c r="CP79" s="560">
        <v>5.4731738726967504E-3</v>
      </c>
      <c r="CQ79" s="560">
        <v>5.91426203571155E-3</v>
      </c>
      <c r="CR79" s="560">
        <v>3.2580608920345102E-3</v>
      </c>
      <c r="CS79" s="560">
        <v>5.1138484509145599E-3</v>
      </c>
      <c r="CT79" s="560">
        <v>8.3744940023024999E-3</v>
      </c>
      <c r="CU79" s="560">
        <v>5.8189853604639899E-3</v>
      </c>
      <c r="CV79" s="560">
        <v>8.7329049266764401E-3</v>
      </c>
      <c r="CW79" s="560">
        <v>8.5484046607862095E-3</v>
      </c>
      <c r="CX79" s="560">
        <v>4.6068851337977001E-3</v>
      </c>
      <c r="CY79" s="560">
        <v>7.6847290640393896E-3</v>
      </c>
      <c r="CZ79" s="560">
        <v>3.8041739254097702E-3</v>
      </c>
      <c r="DA79" s="560">
        <v>3.4001558404759299E-3</v>
      </c>
      <c r="DB79" s="560">
        <v>1.1013060360042499E-2</v>
      </c>
      <c r="DC79" s="560">
        <v>1.4314642832204999E-3</v>
      </c>
      <c r="DD79" s="560">
        <v>6.62413276156615E-3</v>
      </c>
      <c r="DE79" s="560">
        <v>8.1044574515982699E-3</v>
      </c>
      <c r="DF79" s="560">
        <v>6.8540213694301402E-3</v>
      </c>
      <c r="DG79" s="560">
        <v>2.3885486154948698E-3</v>
      </c>
      <c r="DH79" s="560">
        <v>4.7827344986639498E-3</v>
      </c>
      <c r="DI79" s="560">
        <v>8.1647863942813093E-3</v>
      </c>
      <c r="DJ79" s="560">
        <v>1.57940721822714E-3</v>
      </c>
      <c r="DK79" s="560">
        <v>5.3178996812615099E-3</v>
      </c>
      <c r="DL79" s="560">
        <v>7.8095015602317498E-3</v>
      </c>
      <c r="DM79" s="560">
        <v>9.0073681596158899E-3</v>
      </c>
      <c r="DN79" s="560">
        <v>8.5495331396971998E-3</v>
      </c>
      <c r="DO79" s="560">
        <v>1.5001627074519901E-2</v>
      </c>
      <c r="DP79" s="560">
        <v>1.3850149081466E-2</v>
      </c>
      <c r="DQ79" s="560">
        <v>1.2206305537109099E-2</v>
      </c>
      <c r="DR79" s="560">
        <v>1.3964822393701899E-2</v>
      </c>
      <c r="DS79" s="560">
        <v>1.0444910032043399E-2</v>
      </c>
      <c r="DT79" s="560">
        <v>1.1724348223814501E-2</v>
      </c>
      <c r="DU79" s="560">
        <v>1.40749559215783E-2</v>
      </c>
      <c r="DV79" s="560">
        <v>1.33446272272004E-2</v>
      </c>
      <c r="DW79" s="560">
        <v>4.2380959364138899E-3</v>
      </c>
      <c r="DX79" s="560">
        <v>2.5116822429906999E-3</v>
      </c>
      <c r="DY79" s="560">
        <v>1.1215987880905901E-3</v>
      </c>
      <c r="DZ79" s="560">
        <v>6.4892548996784401E-3</v>
      </c>
      <c r="EA79" s="560">
        <v>9.8445970365015293E-3</v>
      </c>
      <c r="EB79" s="560">
        <v>8.1882730187814393E-3</v>
      </c>
      <c r="EC79" s="560">
        <v>9.9534276140171903E-3</v>
      </c>
      <c r="ED79" s="560">
        <v>1.5675744070632099E-2</v>
      </c>
      <c r="EE79" s="560">
        <v>6.5057305797022703E-4</v>
      </c>
      <c r="EF79" s="560">
        <v>8.0369617241426994E-3</v>
      </c>
      <c r="EG79" s="560">
        <v>9.0569766165331505E-3</v>
      </c>
      <c r="EH79" s="560">
        <v>1.41163031061307E-2</v>
      </c>
      <c r="EI79" s="560">
        <v>1.3289526619284101E-2</v>
      </c>
      <c r="EJ79" s="560">
        <v>1.3644605021108799E-2</v>
      </c>
      <c r="EK79" s="560">
        <v>1.5641320242323099E-2</v>
      </c>
      <c r="EL79" s="560">
        <v>9.1014269186271406E-3</v>
      </c>
      <c r="EM79" s="560">
        <v>1.14015643710668E-2</v>
      </c>
      <c r="EN79" s="560">
        <v>1.45100953484565E-2</v>
      </c>
      <c r="EO79" s="560">
        <v>1.68973865541002E-2</v>
      </c>
      <c r="EP79" s="560">
        <v>7.3498888970282604E-3</v>
      </c>
      <c r="EQ79" s="560">
        <v>1.37441217821301E-2</v>
      </c>
      <c r="ER79" s="560">
        <v>9.0863441811530592E-3</v>
      </c>
      <c r="ES79" s="560">
        <v>7.4998222790929603E-3</v>
      </c>
      <c r="ET79" s="560">
        <v>1.7604515787616799E-2</v>
      </c>
      <c r="EU79" s="560">
        <v>1.0828364073406401E-2</v>
      </c>
      <c r="EV79" s="560">
        <v>1.11811041626177E-2</v>
      </c>
      <c r="EW79" s="560">
        <v>1.51616222144335E-2</v>
      </c>
      <c r="EX79" s="560">
        <v>1.7608143627210901E-2</v>
      </c>
      <c r="EY79" s="560">
        <v>1.5453819129026301E-2</v>
      </c>
      <c r="EZ79" s="560">
        <v>1.35264763259719E-2</v>
      </c>
      <c r="FA79" s="560">
        <v>-1.9077799991492599E-2</v>
      </c>
      <c r="FB79" s="560">
        <v>-1.7573339693415201E-2</v>
      </c>
      <c r="FC79" s="560">
        <v>4.9215965394333603E-3</v>
      </c>
      <c r="FD79" s="560">
        <v>8.5870842346844594E-3</v>
      </c>
      <c r="FE79" s="560">
        <v>9.2760944593843798E-3</v>
      </c>
      <c r="FF79" s="560">
        <v>1.15424860573241E-2</v>
      </c>
      <c r="FG79" s="560">
        <v>7.18772328331774E-3</v>
      </c>
      <c r="FH79" s="560">
        <v>5.7176134258034601E-3</v>
      </c>
      <c r="FI79" s="560">
        <v>9.3383165763014607E-3</v>
      </c>
      <c r="FJ79" s="560">
        <v>1.10981308411215E-2</v>
      </c>
      <c r="FK79" s="560">
        <v>1.24721465709332E-2</v>
      </c>
      <c r="FL79" s="560">
        <v>3.7903102552345699E-3</v>
      </c>
      <c r="FM79" s="560">
        <v>-3.54253580600294E-3</v>
      </c>
      <c r="FN79" s="560">
        <v>1.32629777524242E-2</v>
      </c>
      <c r="FO79" s="560">
        <v>-1.7492711370261599E-3</v>
      </c>
      <c r="FP79" s="560">
        <v>6.0526103770543998E-3</v>
      </c>
      <c r="FQ79" s="560">
        <v>1.4414847292711501E-2</v>
      </c>
      <c r="FR79" s="560">
        <v>1.3085052843482501E-2</v>
      </c>
      <c r="FS79" s="560">
        <v>5.3281123676494103E-3</v>
      </c>
      <c r="FT79" s="560">
        <v>8.4487937215385108E-3</v>
      </c>
      <c r="FU79" s="560">
        <v>5.3227263119464104E-3</v>
      </c>
      <c r="FV79" s="560">
        <v>8.4005504797584098E-3</v>
      </c>
      <c r="FW79" s="560">
        <v>3.1559493910817702E-3</v>
      </c>
      <c r="FX79" s="560">
        <v>5.7251908396946903E-3</v>
      </c>
      <c r="FY79" s="560">
        <v>-7.7967948597512703E-4</v>
      </c>
      <c r="FZ79" s="560">
        <v>-9.9745231313045392E-3</v>
      </c>
      <c r="GA79" s="560">
        <v>6.9983857183553199E-3</v>
      </c>
      <c r="GB79" s="560">
        <v>6.0350599262592997E-4</v>
      </c>
      <c r="GC79" s="560">
        <v>-3.9392711405981098E-3</v>
      </c>
      <c r="GD79" s="560">
        <v>-8.5246894307096106E-3</v>
      </c>
      <c r="GE79" s="560">
        <v>7.6055424078174099E-3</v>
      </c>
      <c r="GF79" s="560">
        <v>3.8450975006867299E-3</v>
      </c>
      <c r="GG79" s="560">
        <v>4.9153261946317502E-3</v>
      </c>
      <c r="GH79" s="560">
        <v>9.5572496150813108E-3</v>
      </c>
      <c r="GI79" s="560">
        <v>2.49223501404217E-3</v>
      </c>
      <c r="GJ79" s="560">
        <v>9.1185692287711895E-3</v>
      </c>
      <c r="GK79" s="560">
        <v>1.3485315071011699E-2</v>
      </c>
      <c r="GL79" s="560">
        <v>1.24714290897217E-2</v>
      </c>
      <c r="GM79" s="560">
        <v>1.06067528465337E-2</v>
      </c>
      <c r="GN79" s="560">
        <v>9.4317043550717905E-3</v>
      </c>
      <c r="GO79" s="560">
        <v>4.9527991218440998E-3</v>
      </c>
      <c r="GP79" s="560">
        <v>-4.0108704200489996E-3</v>
      </c>
      <c r="GQ79" s="560">
        <v>6.8257589050710896E-3</v>
      </c>
      <c r="GR79" s="560">
        <v>1.40295229962173E-3</v>
      </c>
      <c r="GS79" s="560">
        <v>3.1848519391919298E-3</v>
      </c>
      <c r="GT79" s="560">
        <v>1.09381099015484E-2</v>
      </c>
      <c r="GU79" s="560">
        <v>-4.0670636486881398E-3</v>
      </c>
      <c r="GV79" s="560">
        <v>3.8510579640223001E-3</v>
      </c>
      <c r="GW79" s="560">
        <v>9.2173808563409398E-3</v>
      </c>
      <c r="GX79" s="560">
        <v>1.5528135178114201E-2</v>
      </c>
      <c r="GY79" s="560">
        <v>1.65635284167511E-2</v>
      </c>
    </row>
    <row r="80" spans="1:207">
      <c r="A80" s="560" t="s">
        <v>680</v>
      </c>
      <c r="B80" s="560">
        <v>2.51411589895989E-2</v>
      </c>
      <c r="C80" s="560">
        <v>2.51411589895989E-2</v>
      </c>
      <c r="D80" s="560">
        <v>1.9364564007421099E-2</v>
      </c>
      <c r="E80" s="560">
        <v>2.5366852462745899E-2</v>
      </c>
      <c r="F80" s="560">
        <v>1.6862658087419598E-2</v>
      </c>
      <c r="G80" s="560">
        <v>1.59829805804057E-2</v>
      </c>
      <c r="H80" s="560">
        <v>1.0899328859060401E-2</v>
      </c>
      <c r="I80" s="560">
        <v>1.7261525387720401E-2</v>
      </c>
      <c r="J80" s="560">
        <v>1.27917297551299E-2</v>
      </c>
      <c r="K80" s="560">
        <v>7.0110320651612899E-3</v>
      </c>
      <c r="L80" s="560">
        <v>1.38732466468721E-2</v>
      </c>
      <c r="M80" s="560">
        <v>1.8682150971976799E-2</v>
      </c>
      <c r="N80" s="560">
        <v>1.9281288723668001E-2</v>
      </c>
      <c r="O80" s="560">
        <v>2.1056214744213299E-2</v>
      </c>
      <c r="P80" s="560">
        <v>2.03838643615755E-2</v>
      </c>
      <c r="Q80" s="560">
        <v>2.68378063010501E-2</v>
      </c>
      <c r="R80" s="560">
        <v>4.6363636363636399E-2</v>
      </c>
      <c r="S80" s="560">
        <v>6.2858384013900995E-2</v>
      </c>
      <c r="T80" s="560">
        <v>6.3922834838762405E-2</v>
      </c>
      <c r="U80" s="560">
        <v>4.15658253620683E-2</v>
      </c>
      <c r="V80" s="560">
        <v>2.1244421495223698E-2</v>
      </c>
      <c r="W80" s="560">
        <v>4.9478132110223304E-3</v>
      </c>
      <c r="X80" s="560">
        <v>3.16250988284339E-3</v>
      </c>
      <c r="Y80" s="560">
        <v>6.0901339829475499E-3</v>
      </c>
      <c r="Z80" s="560">
        <v>4.91382993875522E-3</v>
      </c>
      <c r="AA80" s="560">
        <v>8.5748706682728902E-3</v>
      </c>
      <c r="AB80" s="560">
        <v>2.17818999437891E-3</v>
      </c>
      <c r="AC80" s="560">
        <v>6.8008132931360902E-3</v>
      </c>
      <c r="AD80" s="560">
        <v>1.2952646239554401E-2</v>
      </c>
      <c r="AE80" s="560">
        <v>9.8652550529356696E-3</v>
      </c>
      <c r="AF80" s="560">
        <v>1.3444977705163501E-2</v>
      </c>
      <c r="AG80" s="560">
        <v>1.0680459461274799E-2</v>
      </c>
      <c r="AH80" s="560">
        <v>1.23953210155523E-2</v>
      </c>
      <c r="AI80" s="560">
        <v>1.9661907106515601E-2</v>
      </c>
      <c r="AJ80" s="560">
        <v>1.9121813031161401E-2</v>
      </c>
      <c r="AK80" s="560">
        <v>1.78785772948384E-2</v>
      </c>
      <c r="AL80" s="560">
        <v>2.0636792452830299E-2</v>
      </c>
      <c r="AM80" s="560">
        <v>2.7151935297515601E-2</v>
      </c>
      <c r="AN80" s="560">
        <v>2.9187141081049101E-2</v>
      </c>
      <c r="AO80" s="560">
        <v>2.83594109526E-2</v>
      </c>
      <c r="AP80" s="560">
        <v>2.7325613917324101E-2</v>
      </c>
      <c r="AQ80" s="560">
        <v>2.8695107674715899E-2</v>
      </c>
      <c r="AR80" s="560">
        <v>3.2870186581977198E-2</v>
      </c>
      <c r="AS80" s="560">
        <v>2.9594895841340601E-2</v>
      </c>
      <c r="AT80" s="560">
        <v>2.8321138818376401E-2</v>
      </c>
      <c r="AU80" s="560">
        <v>2.39109390125847E-2</v>
      </c>
      <c r="AV80" s="560">
        <v>2.0492578235794499E-2</v>
      </c>
      <c r="AW80" s="560">
        <v>1.7811233352634799E-2</v>
      </c>
      <c r="AX80" s="560">
        <v>1.40178408884035E-2</v>
      </c>
      <c r="AY80" s="560">
        <v>1.6719030520646199E-2</v>
      </c>
      <c r="AZ80" s="560">
        <v>1.1808851120185501E-2</v>
      </c>
      <c r="BA80" s="560">
        <v>2.5305410122164998E-3</v>
      </c>
      <c r="BB80" s="560">
        <v>9.3567760466539696E-4</v>
      </c>
      <c r="BC80" s="560">
        <v>-1.3478553881607299E-3</v>
      </c>
      <c r="BD80" s="560">
        <v>5.6599255502098899E-4</v>
      </c>
      <c r="BE80" s="560">
        <v>-2.82836194330227E-4</v>
      </c>
      <c r="BF80" s="560">
        <v>1.0881392818280499E-3</v>
      </c>
      <c r="BG80" s="560">
        <v>3.5434782608694299E-3</v>
      </c>
      <c r="BH80" s="560">
        <v>3.22769317418703E-3</v>
      </c>
      <c r="BI80" s="560">
        <v>2.0297115218517198E-3</v>
      </c>
      <c r="BJ80" s="560">
        <v>5.5596259104426799E-3</v>
      </c>
      <c r="BK80" s="560">
        <v>3.0858906223212301E-3</v>
      </c>
      <c r="BL80" s="560">
        <v>4.1018629294138397E-3</v>
      </c>
      <c r="BM80" s="560">
        <v>5.9574468085106204E-3</v>
      </c>
      <c r="BN80" s="560">
        <v>6.2182741116749698E-3</v>
      </c>
      <c r="BO80" s="560">
        <v>1.02787236725943E-2</v>
      </c>
      <c r="BP80" s="560">
        <v>9.1130391361338194E-3</v>
      </c>
      <c r="BQ80" s="560">
        <v>1.08245190820808E-2</v>
      </c>
      <c r="BR80" s="560">
        <v>6.4047648186675897E-3</v>
      </c>
      <c r="BS80" s="560">
        <v>8.4110255370895004E-3</v>
      </c>
      <c r="BT80" s="560">
        <v>8.9036277761027592E-3</v>
      </c>
      <c r="BU80" s="560">
        <v>5.29901589704762E-3</v>
      </c>
      <c r="BV80" s="560">
        <v>8.0453392517438899E-3</v>
      </c>
      <c r="BW80" s="560">
        <v>5.5238844112444098E-3</v>
      </c>
      <c r="BX80" s="560">
        <v>6.45148677445206E-3</v>
      </c>
      <c r="BY80" s="560">
        <v>5.2835026514637101E-3</v>
      </c>
      <c r="BZ80" s="560">
        <v>4.8306378374200999E-3</v>
      </c>
      <c r="CA80" s="560">
        <v>8.1149164471279196E-3</v>
      </c>
      <c r="CB80" s="560">
        <v>7.4201239866476002E-3</v>
      </c>
      <c r="CC80" s="560">
        <v>5.5099026773204303E-3</v>
      </c>
      <c r="CD80" s="560">
        <v>7.1932962997835999E-3</v>
      </c>
      <c r="CE80" s="560">
        <v>8.8245741955990092E-3</v>
      </c>
      <c r="CF80" s="560">
        <v>9.7110769287791499E-3</v>
      </c>
      <c r="CG80" s="560">
        <v>2.66138061413668E-3</v>
      </c>
      <c r="CH80" s="560">
        <v>1.9770081276999601E-3</v>
      </c>
      <c r="CI80" s="560">
        <v>5.1520023384976597E-3</v>
      </c>
      <c r="CJ80" s="560">
        <v>2.6536769784435399E-3</v>
      </c>
      <c r="CK80" s="560">
        <v>-2.5016314988035599E-3</v>
      </c>
      <c r="CL80" s="560">
        <v>-2.61694471704299E-3</v>
      </c>
      <c r="CM80" s="560">
        <v>4.7374366823367299E-3</v>
      </c>
      <c r="CN80" s="560">
        <v>2.03111965470959E-3</v>
      </c>
      <c r="CO80" s="560">
        <v>4.5607557823867896E-3</v>
      </c>
      <c r="CP80" s="560">
        <v>7.4406370482469298E-3</v>
      </c>
      <c r="CQ80" s="560">
        <v>5.8298610490172802E-3</v>
      </c>
      <c r="CR80" s="560">
        <v>1.01342341541466E-3</v>
      </c>
      <c r="CS80" s="560">
        <v>4.6712372562254202E-3</v>
      </c>
      <c r="CT80" s="560">
        <v>7.3013347476356101E-3</v>
      </c>
      <c r="CU80" s="560">
        <v>4.3350064937344203E-3</v>
      </c>
      <c r="CV80" s="560">
        <v>8.7549148099605994E-3</v>
      </c>
      <c r="CW80" s="560">
        <v>8.3324671725046907E-3</v>
      </c>
      <c r="CX80" s="560">
        <v>9.9816173312487991E-3</v>
      </c>
      <c r="CY80" s="560">
        <v>7.1443151663605998E-3</v>
      </c>
      <c r="CZ80" s="560">
        <v>5.5229023104985701E-3</v>
      </c>
      <c r="DA80" s="560">
        <v>5.7613168724279804E-3</v>
      </c>
      <c r="DB80" s="560">
        <v>5.3609004976786804E-3</v>
      </c>
      <c r="DC80" s="560">
        <v>1.1129752985929999E-3</v>
      </c>
      <c r="DD80" s="560">
        <v>4.9613380678989998E-3</v>
      </c>
      <c r="DE80" s="560">
        <v>3.2361925204327201E-3</v>
      </c>
      <c r="DF80" s="560">
        <v>5.6450683826796402E-3</v>
      </c>
      <c r="DG80" s="560">
        <v>6.8244304791831301E-3</v>
      </c>
      <c r="DH80" s="560">
        <v>2.5357195104109801E-3</v>
      </c>
      <c r="DI80" s="560">
        <v>6.4367592457479396E-3</v>
      </c>
      <c r="DJ80" s="560">
        <v>3.3830589296646201E-4</v>
      </c>
      <c r="DK80" s="560">
        <v>6.2806989290598004E-4</v>
      </c>
      <c r="DL80" s="560">
        <v>6.1640969517495802E-3</v>
      </c>
      <c r="DM80" s="560">
        <v>5.6464641617479704E-3</v>
      </c>
      <c r="DN80" s="560">
        <v>4.0082710354700799E-3</v>
      </c>
      <c r="DO80" s="560">
        <v>7.4142137448116596E-3</v>
      </c>
      <c r="DP80" s="560">
        <v>4.2144991350840898E-3</v>
      </c>
      <c r="DQ80" s="560">
        <v>8.5189013122866104E-3</v>
      </c>
      <c r="DR80" s="560">
        <v>7.9190087264371396E-3</v>
      </c>
      <c r="DS80" s="560">
        <v>1.13846438254868E-2</v>
      </c>
      <c r="DT80" s="560">
        <v>6.5497859895509202E-3</v>
      </c>
      <c r="DU80" s="560">
        <v>5.8867147894250396E-3</v>
      </c>
      <c r="DV80" s="560">
        <v>6.16819617872721E-3</v>
      </c>
      <c r="DW80" s="560">
        <v>2.5717703349283898E-3</v>
      </c>
      <c r="DX80" s="560">
        <v>3.1318976316887502E-3</v>
      </c>
      <c r="DY80" s="560">
        <v>5.3670720466236803E-3</v>
      </c>
      <c r="DZ80" s="560">
        <v>4.4067846738535801E-3</v>
      </c>
      <c r="EA80" s="560">
        <v>5.4327822028532599E-3</v>
      </c>
      <c r="EB80" s="560">
        <v>3.07512080831729E-3</v>
      </c>
      <c r="EC80" s="560">
        <v>1.7226277372262E-3</v>
      </c>
      <c r="ED80" s="560">
        <v>8.2922848232243104E-3</v>
      </c>
      <c r="EE80" s="560">
        <v>1.0406579270672001E-3</v>
      </c>
      <c r="EF80" s="560">
        <v>1.2705929915244299E-3</v>
      </c>
      <c r="EG80" s="560">
        <v>2.7686850188184402E-3</v>
      </c>
      <c r="EH80" s="560">
        <v>6.5143300881520504E-3</v>
      </c>
      <c r="EI80" s="560">
        <v>1.8373528403245999E-2</v>
      </c>
      <c r="EJ80" s="560">
        <v>2.6922753163668899E-2</v>
      </c>
      <c r="EK80" s="560">
        <v>2.4017377761383699E-2</v>
      </c>
      <c r="EL80" s="560">
        <v>8.4450670402240694E-3</v>
      </c>
      <c r="EM80" s="560">
        <v>1.8812509922210102E-2</v>
      </c>
      <c r="EN80" s="560">
        <v>2.2269835086352399E-2</v>
      </c>
      <c r="EO80" s="560">
        <v>1.39472848523341E-2</v>
      </c>
      <c r="EP80" s="560">
        <v>6.2137479172670301E-3</v>
      </c>
      <c r="EQ80" s="560">
        <v>2.20371269562618E-2</v>
      </c>
      <c r="ER80" s="560">
        <v>1.39239118517707E-2</v>
      </c>
      <c r="ES80" s="560">
        <v>2.34645328719723E-2</v>
      </c>
      <c r="ET80" s="560">
        <v>2.5227446146622E-2</v>
      </c>
      <c r="EU80" s="560">
        <v>1.0454118670849799E-2</v>
      </c>
      <c r="EV80" s="560">
        <v>9.6320554806394992E-3</v>
      </c>
      <c r="EW80" s="560">
        <v>1.1762461137861099E-2</v>
      </c>
      <c r="EX80" s="560">
        <v>9.4736258250596207E-3</v>
      </c>
      <c r="EY80" s="560">
        <v>7.6923922240903497E-3</v>
      </c>
      <c r="EZ80" s="560">
        <v>1.29227145334192E-2</v>
      </c>
      <c r="FA80" s="560">
        <v>1.8323930924594199E-2</v>
      </c>
      <c r="FB80" s="560">
        <v>6.2377095976149403E-3</v>
      </c>
      <c r="FC80" s="560">
        <v>-8.7837269899974108E-3</v>
      </c>
      <c r="FD80" s="560">
        <v>-9.0099639601441996E-3</v>
      </c>
      <c r="FE80" s="560">
        <v>-7.7013584340557305E-4</v>
      </c>
      <c r="FF80" s="560">
        <v>2.8367124108843499E-3</v>
      </c>
      <c r="FG80" s="560">
        <v>4.3444381584705196E-3</v>
      </c>
      <c r="FH80" s="560">
        <v>3.1459241152087501E-3</v>
      </c>
      <c r="FI80" s="560">
        <v>4.4921916385904899E-3</v>
      </c>
      <c r="FJ80" s="560">
        <v>6.0436662799281402E-3</v>
      </c>
      <c r="FK80" s="560">
        <v>1.01066227734501E-2</v>
      </c>
      <c r="FL80" s="560">
        <v>1.13028947450362E-2</v>
      </c>
      <c r="FM80" s="560">
        <v>9.4010427357444897E-3</v>
      </c>
      <c r="FN80" s="560">
        <v>7.4934927606962196E-3</v>
      </c>
      <c r="FO80" s="560">
        <v>7.9726306653615797E-3</v>
      </c>
      <c r="FP80" s="560">
        <v>5.3865176864005297E-3</v>
      </c>
      <c r="FQ80" s="560">
        <v>1.9717776870449301E-3</v>
      </c>
      <c r="FR80" s="560">
        <v>4.05506137255873E-3</v>
      </c>
      <c r="FS80" s="560">
        <v>5.0978490046820202E-3</v>
      </c>
      <c r="FT80" s="560">
        <v>5.3871456991470001E-3</v>
      </c>
      <c r="FU80" s="560">
        <v>7.55252975461618E-3</v>
      </c>
      <c r="FV80" s="560">
        <v>5.6292292136579398E-3</v>
      </c>
      <c r="FW80" s="560">
        <v>4.5632522840430801E-3</v>
      </c>
      <c r="FX80" s="560">
        <v>4.8312433233566E-3</v>
      </c>
      <c r="FY80" s="560">
        <v>1.76230018484991E-3</v>
      </c>
      <c r="FZ80" s="560">
        <v>-2.9638694750133698E-4</v>
      </c>
      <c r="GA80" s="560">
        <v>4.3897400585299904E-3</v>
      </c>
      <c r="GB80" s="560">
        <v>2.8375277325487498E-3</v>
      </c>
      <c r="GC80" s="560">
        <v>-5.5070784948596497E-4</v>
      </c>
      <c r="GD80" s="560">
        <v>-2.4225496622680702E-3</v>
      </c>
      <c r="GE80" s="560">
        <v>8.1519151286593202E-3</v>
      </c>
      <c r="GF80" s="560">
        <v>7.5570081804610101E-4</v>
      </c>
      <c r="GG80" s="560">
        <v>4.8328330595985803E-3</v>
      </c>
      <c r="GH80" s="560">
        <v>6.8949969000695601E-3</v>
      </c>
      <c r="GI80" s="560">
        <v>4.8886069336120403E-3</v>
      </c>
      <c r="GJ80" s="560">
        <v>8.94979203802726E-3</v>
      </c>
      <c r="GK80" s="560">
        <v>5.6038131694209304E-3</v>
      </c>
      <c r="GL80" s="560">
        <v>9.2052889234570702E-3</v>
      </c>
      <c r="GM80" s="560">
        <v>1.3101703674824E-2</v>
      </c>
      <c r="GN80" s="560">
        <v>7.2134316603422698E-3</v>
      </c>
      <c r="GO80" s="560">
        <v>1.0422775497147801E-2</v>
      </c>
      <c r="GP80" s="560">
        <v>4.0452007211009304E-3</v>
      </c>
      <c r="GQ80" s="560">
        <v>1.0886796584191E-2</v>
      </c>
      <c r="GR80" s="560">
        <v>4.8865861477411796E-3</v>
      </c>
      <c r="GS80" s="560">
        <v>1.59507509785994E-3</v>
      </c>
      <c r="GT80" s="560">
        <v>2.86656279322006E-3</v>
      </c>
      <c r="GU80" s="560">
        <v>-2.61802575107306E-3</v>
      </c>
      <c r="GV80" s="560">
        <v>9.3807823056069103E-3</v>
      </c>
      <c r="GW80" s="560">
        <v>3.5895468303705999E-3</v>
      </c>
      <c r="GX80" s="560">
        <v>1.45277216114725E-2</v>
      </c>
      <c r="GY80" s="560">
        <v>2.1931734440946E-2</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1BBF8-A4A1-41B1-BB49-1826BC5BBA07}">
  <dimension ref="A3:Q54"/>
  <sheetViews>
    <sheetView workbookViewId="0">
      <selection activeCell="C37" sqref="C37"/>
    </sheetView>
  </sheetViews>
  <sheetFormatPr baseColWidth="10" defaultColWidth="8.83203125" defaultRowHeight="15"/>
  <cols>
    <col min="3" max="3" width="33.83203125" customWidth="1"/>
  </cols>
  <sheetData>
    <row r="3" spans="1:17">
      <c r="A3" s="288" t="s">
        <v>465</v>
      </c>
      <c r="B3" s="268"/>
      <c r="C3" s="264"/>
      <c r="D3" s="264"/>
      <c r="E3" s="264"/>
      <c r="F3" s="264"/>
      <c r="G3" s="264"/>
      <c r="H3" s="264"/>
      <c r="I3" s="264"/>
      <c r="J3" s="264"/>
      <c r="K3" s="264"/>
      <c r="L3" s="264"/>
      <c r="M3" s="264"/>
      <c r="N3" s="264"/>
      <c r="O3" s="264"/>
      <c r="P3" s="264"/>
    </row>
    <row r="4" spans="1:17">
      <c r="A4" s="289" t="s">
        <v>466</v>
      </c>
      <c r="B4" s="290"/>
      <c r="C4" s="290"/>
      <c r="D4" s="275"/>
      <c r="E4" s="275"/>
      <c r="F4" s="275"/>
      <c r="G4" s="275"/>
      <c r="H4" s="275"/>
      <c r="I4" s="275"/>
      <c r="J4" s="275"/>
      <c r="K4" s="275"/>
      <c r="L4" s="275"/>
      <c r="M4" s="275"/>
      <c r="N4" s="275"/>
      <c r="O4" s="275"/>
      <c r="P4" s="275"/>
    </row>
    <row r="7" spans="1:17">
      <c r="A7" s="1496" t="s">
        <v>467</v>
      </c>
      <c r="B7" s="1497"/>
      <c r="C7" s="1497"/>
      <c r="D7" s="1497"/>
      <c r="E7" s="1497"/>
      <c r="F7" s="1497"/>
      <c r="G7" s="1497"/>
      <c r="H7" s="1497"/>
      <c r="I7" s="1497"/>
      <c r="J7" s="1497"/>
      <c r="K7" s="1497"/>
      <c r="L7" s="1497"/>
      <c r="M7" s="1497"/>
      <c r="N7" s="1497"/>
      <c r="O7" s="1497"/>
      <c r="P7" s="1497"/>
    </row>
    <row r="8" spans="1:17">
      <c r="A8" s="276" t="s">
        <v>468</v>
      </c>
      <c r="B8" s="277"/>
      <c r="C8" s="278"/>
      <c r="D8" s="279"/>
      <c r="E8" s="278"/>
      <c r="F8" s="278"/>
      <c r="G8" s="278"/>
      <c r="H8" s="278"/>
      <c r="I8" s="278"/>
      <c r="J8" s="278"/>
      <c r="K8" s="278"/>
      <c r="L8" s="278"/>
      <c r="M8" s="278"/>
      <c r="N8" s="278"/>
      <c r="O8" s="278"/>
      <c r="P8" s="278"/>
    </row>
    <row r="9" spans="1:17">
      <c r="A9" s="270"/>
      <c r="B9" s="270"/>
      <c r="C9" s="270"/>
      <c r="D9" s="280"/>
      <c r="E9" s="270"/>
      <c r="F9" s="270"/>
      <c r="G9" s="270"/>
      <c r="H9" s="270"/>
      <c r="I9" s="270"/>
      <c r="J9" s="270"/>
      <c r="K9" s="270"/>
      <c r="L9" s="270"/>
      <c r="M9" s="270"/>
      <c r="N9" s="270"/>
      <c r="O9" s="270"/>
      <c r="P9" s="270"/>
    </row>
    <row r="10" spans="1:17">
      <c r="A10" s="281"/>
      <c r="B10" s="281"/>
      <c r="C10" s="270"/>
      <c r="D10" s="280"/>
      <c r="E10" s="270"/>
      <c r="F10" s="270"/>
      <c r="G10" s="270"/>
      <c r="H10" s="270"/>
      <c r="I10" s="270"/>
      <c r="J10" s="270"/>
      <c r="K10" s="270"/>
      <c r="L10" s="270"/>
      <c r="M10" s="270"/>
      <c r="N10" s="270"/>
      <c r="O10" s="1498" t="s">
        <v>5</v>
      </c>
      <c r="P10" s="1499"/>
    </row>
    <row r="11" spans="1:17">
      <c r="A11" s="281"/>
      <c r="B11" s="281"/>
      <c r="C11" s="271"/>
      <c r="D11" s="272"/>
      <c r="E11" s="271"/>
      <c r="F11" s="271"/>
      <c r="G11" s="271"/>
      <c r="H11" s="271"/>
      <c r="I11" s="271"/>
      <c r="J11" s="271"/>
      <c r="K11" s="271"/>
      <c r="L11" s="271"/>
      <c r="M11" s="271"/>
      <c r="N11" s="271"/>
      <c r="O11" s="265" t="s">
        <v>469</v>
      </c>
      <c r="P11" s="265" t="s">
        <v>469</v>
      </c>
    </row>
    <row r="12" spans="1:17">
      <c r="A12" s="278"/>
      <c r="B12" s="278"/>
      <c r="C12" s="278"/>
      <c r="D12" s="279">
        <v>2020</v>
      </c>
      <c r="E12" s="279">
        <v>2021</v>
      </c>
      <c r="F12" s="279">
        <v>2022</v>
      </c>
      <c r="G12" s="279">
        <v>2023</v>
      </c>
      <c r="H12" s="279">
        <v>2024</v>
      </c>
      <c r="I12" s="279">
        <v>2025</v>
      </c>
      <c r="J12" s="279">
        <v>2026</v>
      </c>
      <c r="K12" s="279">
        <v>2027</v>
      </c>
      <c r="L12" s="279">
        <v>2028</v>
      </c>
      <c r="M12" s="279">
        <v>2029</v>
      </c>
      <c r="N12" s="279">
        <v>2030</v>
      </c>
      <c r="O12" s="266">
        <v>2025</v>
      </c>
      <c r="P12" s="266">
        <v>2030</v>
      </c>
    </row>
    <row r="13" spans="1:17">
      <c r="A13" s="267" t="s">
        <v>432</v>
      </c>
      <c r="B13" s="267"/>
      <c r="C13" s="267"/>
      <c r="D13" s="282">
        <v>540.56299999999999</v>
      </c>
      <c r="E13" s="282">
        <v>0</v>
      </c>
      <c r="F13" s="282">
        <v>0</v>
      </c>
      <c r="G13" s="282">
        <v>0</v>
      </c>
      <c r="H13" s="282">
        <v>0</v>
      </c>
      <c r="I13" s="282">
        <v>0</v>
      </c>
      <c r="J13" s="282">
        <v>0</v>
      </c>
      <c r="K13" s="282">
        <v>0</v>
      </c>
      <c r="L13" s="282">
        <v>0</v>
      </c>
      <c r="M13" s="282">
        <v>0</v>
      </c>
      <c r="N13" s="282">
        <v>0</v>
      </c>
      <c r="O13" s="282">
        <v>0</v>
      </c>
      <c r="P13" s="282">
        <v>0</v>
      </c>
      <c r="Q13" t="s">
        <v>481</v>
      </c>
    </row>
    <row r="14" spans="1:17">
      <c r="A14" s="281" t="s">
        <v>435</v>
      </c>
      <c r="B14" s="281"/>
      <c r="C14" s="281"/>
      <c r="D14" s="272"/>
      <c r="E14" s="267"/>
      <c r="F14" s="267"/>
      <c r="G14" s="267"/>
      <c r="H14" s="267"/>
      <c r="I14" s="267"/>
      <c r="J14" s="267"/>
      <c r="K14" s="267"/>
      <c r="L14" s="267"/>
      <c r="M14" s="267"/>
      <c r="N14" s="267"/>
      <c r="O14" s="267"/>
      <c r="P14" s="267"/>
      <c r="Q14" t="s">
        <v>482</v>
      </c>
    </row>
    <row r="15" spans="1:17">
      <c r="A15" s="281"/>
      <c r="B15" s="269" t="s">
        <v>470</v>
      </c>
      <c r="C15" s="281"/>
      <c r="D15" s="272">
        <v>285.56</v>
      </c>
      <c r="E15" s="272">
        <v>5</v>
      </c>
      <c r="F15" s="272">
        <v>0</v>
      </c>
      <c r="G15" s="272">
        <v>0</v>
      </c>
      <c r="H15" s="272">
        <v>0</v>
      </c>
      <c r="I15" s="272">
        <v>0</v>
      </c>
      <c r="J15" s="272">
        <v>0</v>
      </c>
      <c r="K15" s="272">
        <v>0</v>
      </c>
      <c r="L15" s="272">
        <v>0</v>
      </c>
      <c r="M15" s="272">
        <v>0</v>
      </c>
      <c r="N15" s="272">
        <v>0</v>
      </c>
      <c r="O15" s="272">
        <v>5</v>
      </c>
      <c r="P15" s="272">
        <v>5</v>
      </c>
    </row>
    <row r="16" spans="1:17">
      <c r="A16" s="267"/>
      <c r="B16" s="281" t="s">
        <v>471</v>
      </c>
      <c r="C16" s="267"/>
      <c r="D16" s="272">
        <v>67.209999999999994</v>
      </c>
      <c r="E16" s="272">
        <v>13.68</v>
      </c>
      <c r="F16" s="272">
        <v>0</v>
      </c>
      <c r="G16" s="272">
        <v>0</v>
      </c>
      <c r="H16" s="272">
        <v>0</v>
      </c>
      <c r="I16" s="272">
        <v>0</v>
      </c>
      <c r="J16" s="272">
        <v>0</v>
      </c>
      <c r="K16" s="272">
        <v>0</v>
      </c>
      <c r="L16" s="272">
        <v>0</v>
      </c>
      <c r="M16" s="272">
        <v>0</v>
      </c>
      <c r="N16" s="272">
        <v>0</v>
      </c>
      <c r="O16" s="272">
        <v>13.68</v>
      </c>
      <c r="P16" s="272">
        <v>13.68</v>
      </c>
    </row>
    <row r="17" spans="1:17">
      <c r="A17" s="267"/>
      <c r="B17" s="281" t="s">
        <v>472</v>
      </c>
      <c r="C17" s="267"/>
      <c r="D17" s="272">
        <v>11.12</v>
      </c>
      <c r="E17" s="272">
        <v>47.8</v>
      </c>
      <c r="F17" s="272">
        <v>0</v>
      </c>
      <c r="G17" s="272">
        <v>0</v>
      </c>
      <c r="H17" s="272">
        <v>0</v>
      </c>
      <c r="I17" s="272">
        <v>0</v>
      </c>
      <c r="J17" s="272">
        <v>0</v>
      </c>
      <c r="K17" s="272">
        <v>0</v>
      </c>
      <c r="L17" s="272">
        <v>0</v>
      </c>
      <c r="M17" s="272">
        <v>0</v>
      </c>
      <c r="N17" s="272">
        <v>0</v>
      </c>
      <c r="O17" s="272">
        <v>47.8</v>
      </c>
      <c r="P17" s="272">
        <v>47.8</v>
      </c>
    </row>
    <row r="18" spans="1:17">
      <c r="A18" s="267"/>
      <c r="B18" s="281" t="s">
        <v>434</v>
      </c>
      <c r="C18" s="267"/>
      <c r="D18" s="272">
        <v>6.2149999999999999</v>
      </c>
      <c r="E18" s="272">
        <v>5.0049999999999999</v>
      </c>
      <c r="F18" s="272">
        <v>0</v>
      </c>
      <c r="G18" s="272">
        <v>0</v>
      </c>
      <c r="H18" s="272">
        <v>0</v>
      </c>
      <c r="I18" s="272">
        <v>0</v>
      </c>
      <c r="J18" s="272">
        <v>0</v>
      </c>
      <c r="K18" s="272">
        <v>0</v>
      </c>
      <c r="L18" s="272">
        <v>0</v>
      </c>
      <c r="M18" s="272">
        <v>0</v>
      </c>
      <c r="N18" s="272">
        <v>0</v>
      </c>
      <c r="O18" s="272">
        <v>5.0049999999999999</v>
      </c>
      <c r="P18" s="272">
        <v>5.0049999999999999</v>
      </c>
    </row>
    <row r="19" spans="1:17">
      <c r="A19" s="267"/>
      <c r="B19" s="281"/>
      <c r="C19" s="267"/>
      <c r="D19" s="272" t="s">
        <v>473</v>
      </c>
      <c r="E19" s="272" t="s">
        <v>473</v>
      </c>
      <c r="F19" s="272" t="s">
        <v>473</v>
      </c>
      <c r="G19" s="272" t="s">
        <v>473</v>
      </c>
      <c r="H19" s="272" t="s">
        <v>473</v>
      </c>
      <c r="I19" s="272" t="s">
        <v>473</v>
      </c>
      <c r="J19" s="272" t="s">
        <v>473</v>
      </c>
      <c r="K19" s="272" t="s">
        <v>473</v>
      </c>
      <c r="L19" s="272" t="s">
        <v>473</v>
      </c>
      <c r="M19" s="272" t="s">
        <v>473</v>
      </c>
      <c r="N19" s="272" t="s">
        <v>473</v>
      </c>
      <c r="O19" s="272" t="s">
        <v>473</v>
      </c>
      <c r="P19" s="272" t="s">
        <v>473</v>
      </c>
    </row>
    <row r="20" spans="1:17">
      <c r="A20" s="267"/>
      <c r="B20" s="281"/>
      <c r="C20" s="267" t="s">
        <v>474</v>
      </c>
      <c r="D20" s="272">
        <v>370.10500000000002</v>
      </c>
      <c r="E20" s="272">
        <v>71.484999999999999</v>
      </c>
      <c r="F20" s="272">
        <v>0</v>
      </c>
      <c r="G20" s="272">
        <v>0</v>
      </c>
      <c r="H20" s="272">
        <v>0</v>
      </c>
      <c r="I20" s="272">
        <v>0</v>
      </c>
      <c r="J20" s="272">
        <v>0</v>
      </c>
      <c r="K20" s="272">
        <v>0</v>
      </c>
      <c r="L20" s="272">
        <v>0</v>
      </c>
      <c r="M20" s="272">
        <v>0</v>
      </c>
      <c r="N20" s="272">
        <v>0</v>
      </c>
      <c r="O20" s="272">
        <v>71.484999999999999</v>
      </c>
      <c r="P20" s="272">
        <v>71.484999999999999</v>
      </c>
    </row>
    <row r="21" spans="1:17">
      <c r="A21" s="267"/>
      <c r="B21" s="281"/>
      <c r="C21" s="267"/>
      <c r="D21" s="272"/>
      <c r="E21" s="272"/>
      <c r="F21" s="272"/>
      <c r="G21" s="272"/>
      <c r="H21" s="272"/>
      <c r="I21" s="272"/>
      <c r="J21" s="272"/>
      <c r="K21" s="272"/>
      <c r="L21" s="272"/>
      <c r="M21" s="272"/>
      <c r="N21" s="272"/>
      <c r="O21" s="272"/>
      <c r="P21" s="272"/>
    </row>
    <row r="22" spans="1:17" ht="16">
      <c r="A22" s="267" t="s">
        <v>436</v>
      </c>
      <c r="B22" s="281"/>
      <c r="C22" s="267"/>
      <c r="D22" s="272">
        <v>271.98399999999998</v>
      </c>
      <c r="E22" s="272">
        <v>9.327</v>
      </c>
      <c r="F22" s="272">
        <v>0</v>
      </c>
      <c r="G22" s="272">
        <v>0</v>
      </c>
      <c r="H22" s="272">
        <v>0</v>
      </c>
      <c r="I22" s="272">
        <v>0</v>
      </c>
      <c r="J22" s="272">
        <v>0</v>
      </c>
      <c r="K22" s="272">
        <v>0</v>
      </c>
      <c r="L22" s="272">
        <v>0</v>
      </c>
      <c r="M22" s="272">
        <v>0</v>
      </c>
      <c r="N22" s="272">
        <v>0</v>
      </c>
      <c r="O22" s="272">
        <v>9.327</v>
      </c>
      <c r="P22" s="272">
        <v>9.327</v>
      </c>
      <c r="Q22" t="s">
        <v>483</v>
      </c>
    </row>
    <row r="23" spans="1:17">
      <c r="A23" s="267" t="s">
        <v>289</v>
      </c>
      <c r="B23" s="281"/>
      <c r="C23" s="281"/>
      <c r="D23" s="272">
        <v>149.97300000000001</v>
      </c>
      <c r="E23" s="272">
        <v>2.5999999999999999E-2</v>
      </c>
      <c r="F23" s="272">
        <v>0</v>
      </c>
      <c r="G23" s="272">
        <v>0</v>
      </c>
      <c r="H23" s="272">
        <v>0</v>
      </c>
      <c r="I23" s="272">
        <v>0</v>
      </c>
      <c r="J23" s="272">
        <v>0</v>
      </c>
      <c r="K23" s="272">
        <v>0</v>
      </c>
      <c r="L23" s="272">
        <v>0</v>
      </c>
      <c r="M23" s="272">
        <v>0</v>
      </c>
      <c r="N23" s="272">
        <v>0</v>
      </c>
      <c r="O23" s="272">
        <v>2.5999999999999999E-2</v>
      </c>
      <c r="P23" s="272">
        <v>2.5999999999999999E-2</v>
      </c>
      <c r="Q23" t="s">
        <v>101</v>
      </c>
    </row>
    <row r="24" spans="1:17">
      <c r="A24" s="267" t="s">
        <v>437</v>
      </c>
      <c r="B24" s="281"/>
      <c r="C24" s="281"/>
      <c r="D24" s="272">
        <v>135.41999999999999</v>
      </c>
      <c r="E24" s="272">
        <v>72.537999999999997</v>
      </c>
      <c r="F24" s="272">
        <v>10.331</v>
      </c>
      <c r="G24" s="272">
        <v>4.2670000000000003</v>
      </c>
      <c r="H24" s="272">
        <v>1.347</v>
      </c>
      <c r="I24" s="272">
        <v>0.67400000000000004</v>
      </c>
      <c r="J24" s="272">
        <v>0</v>
      </c>
      <c r="K24" s="272">
        <v>0</v>
      </c>
      <c r="L24" s="272">
        <v>0</v>
      </c>
      <c r="M24" s="272">
        <v>0</v>
      </c>
      <c r="N24" s="272">
        <v>0</v>
      </c>
      <c r="O24" s="272">
        <v>89.156999999999996</v>
      </c>
      <c r="P24" s="272">
        <v>89.156999999999996</v>
      </c>
      <c r="Q24" t="s">
        <v>485</v>
      </c>
    </row>
    <row r="25" spans="1:17">
      <c r="A25" s="267" t="s">
        <v>438</v>
      </c>
      <c r="B25" s="281"/>
      <c r="C25" s="281"/>
      <c r="D25" s="272"/>
      <c r="E25" s="272"/>
      <c r="F25" s="272"/>
      <c r="G25" s="272"/>
      <c r="H25" s="272"/>
      <c r="I25" s="272"/>
      <c r="J25" s="272"/>
      <c r="K25" s="272"/>
      <c r="L25" s="272"/>
      <c r="M25" s="272"/>
      <c r="N25" s="272"/>
      <c r="O25" s="272"/>
      <c r="P25" s="272"/>
    </row>
    <row r="26" spans="1:17">
      <c r="A26" s="267" t="s">
        <v>475</v>
      </c>
      <c r="B26" s="281"/>
      <c r="C26" s="281"/>
      <c r="D26" s="272">
        <v>40.831000000000003</v>
      </c>
      <c r="E26" s="272">
        <v>79.391999999999996</v>
      </c>
      <c r="F26" s="272">
        <v>47.442999999999998</v>
      </c>
      <c r="G26" s="272">
        <v>4.7220000000000004</v>
      </c>
      <c r="H26" s="272">
        <v>0</v>
      </c>
      <c r="I26" s="272">
        <v>0</v>
      </c>
      <c r="J26" s="272">
        <v>0</v>
      </c>
      <c r="K26" s="272">
        <v>0</v>
      </c>
      <c r="L26" s="272">
        <v>0</v>
      </c>
      <c r="M26" s="272">
        <v>0</v>
      </c>
      <c r="N26" s="272">
        <v>0</v>
      </c>
      <c r="O26" s="272">
        <v>131.55699999999999</v>
      </c>
      <c r="P26" s="272">
        <v>131.55699999999999</v>
      </c>
      <c r="Q26" t="s">
        <v>180</v>
      </c>
    </row>
    <row r="27" spans="1:17">
      <c r="A27" s="267" t="s">
        <v>439</v>
      </c>
      <c r="B27" s="281"/>
      <c r="C27" s="281"/>
      <c r="D27" s="272">
        <v>58.054000000000002</v>
      </c>
      <c r="E27" s="272">
        <v>14.755000000000001</v>
      </c>
      <c r="F27" s="272">
        <v>3.4750000000000001</v>
      </c>
      <c r="G27" s="272">
        <v>3.9249999999999998</v>
      </c>
      <c r="H27" s="272">
        <v>4.375</v>
      </c>
      <c r="I27" s="272">
        <v>4.375</v>
      </c>
      <c r="J27" s="272">
        <v>4.5</v>
      </c>
      <c r="K27" s="272">
        <v>4.5</v>
      </c>
      <c r="L27" s="272">
        <v>4.5</v>
      </c>
      <c r="M27" s="272">
        <v>4.5</v>
      </c>
      <c r="N27" s="272">
        <v>4.5</v>
      </c>
      <c r="O27" s="272">
        <v>30.905000000000001</v>
      </c>
      <c r="P27" s="272">
        <v>53.405000000000001</v>
      </c>
    </row>
    <row r="28" spans="1:17">
      <c r="A28" s="267" t="s">
        <v>440</v>
      </c>
      <c r="B28" s="281"/>
      <c r="C28" s="281"/>
      <c r="D28" s="272">
        <v>47.372999999999998</v>
      </c>
      <c r="E28" s="272">
        <v>-46.081000000000003</v>
      </c>
      <c r="F28" s="272">
        <v>0</v>
      </c>
      <c r="G28" s="272">
        <v>0</v>
      </c>
      <c r="H28" s="272">
        <v>0</v>
      </c>
      <c r="I28" s="272">
        <v>0</v>
      </c>
      <c r="J28" s="272">
        <v>0</v>
      </c>
      <c r="K28" s="272">
        <v>0</v>
      </c>
      <c r="L28" s="272">
        <v>0</v>
      </c>
      <c r="M28" s="272">
        <v>0</v>
      </c>
      <c r="N28" s="272">
        <v>0</v>
      </c>
      <c r="O28" s="272">
        <v>-46.081000000000003</v>
      </c>
      <c r="P28" s="272">
        <v>-46.081000000000003</v>
      </c>
      <c r="Q28" t="s">
        <v>385</v>
      </c>
    </row>
    <row r="29" spans="1:17">
      <c r="A29" s="267" t="s">
        <v>441</v>
      </c>
      <c r="B29" s="281"/>
      <c r="C29" s="281"/>
      <c r="D29" s="272">
        <v>24.475000000000001</v>
      </c>
      <c r="E29" s="272">
        <v>32.784999999999997</v>
      </c>
      <c r="F29" s="272">
        <v>8.4600000000000009</v>
      </c>
      <c r="G29" s="272">
        <v>0</v>
      </c>
      <c r="H29" s="272">
        <v>0</v>
      </c>
      <c r="I29" s="272">
        <v>0</v>
      </c>
      <c r="J29" s="272">
        <v>0</v>
      </c>
      <c r="K29" s="272">
        <v>0</v>
      </c>
      <c r="L29" s="272">
        <v>0</v>
      </c>
      <c r="M29" s="272">
        <v>0</v>
      </c>
      <c r="N29" s="272">
        <v>0</v>
      </c>
      <c r="O29" s="272">
        <v>41.244999999999997</v>
      </c>
      <c r="P29" s="272">
        <v>41.244999999999997</v>
      </c>
      <c r="Q29" t="s">
        <v>433</v>
      </c>
    </row>
    <row r="30" spans="1:17">
      <c r="A30" s="267" t="s">
        <v>442</v>
      </c>
      <c r="B30" s="281"/>
      <c r="C30" s="281"/>
      <c r="D30" s="272">
        <v>27.5</v>
      </c>
      <c r="E30" s="272">
        <v>0.86</v>
      </c>
      <c r="F30" s="272">
        <v>-0.22</v>
      </c>
      <c r="G30" s="272">
        <v>-0.49</v>
      </c>
      <c r="H30" s="272">
        <v>-0.56000000000000005</v>
      </c>
      <c r="I30" s="272">
        <v>-0.98</v>
      </c>
      <c r="J30" s="272">
        <v>-0.76</v>
      </c>
      <c r="K30" s="272">
        <v>-0.74</v>
      </c>
      <c r="L30" s="272">
        <v>-0.72</v>
      </c>
      <c r="M30" s="272">
        <v>-0.7</v>
      </c>
      <c r="N30" s="272">
        <v>-0.69</v>
      </c>
      <c r="O30" s="272">
        <v>-1.39</v>
      </c>
      <c r="P30" s="272">
        <v>-5</v>
      </c>
      <c r="Q30" t="s">
        <v>132</v>
      </c>
    </row>
    <row r="31" spans="1:17">
      <c r="A31" s="267" t="s">
        <v>290</v>
      </c>
      <c r="B31" s="281"/>
      <c r="C31" s="281"/>
      <c r="D31" s="272">
        <v>11.407999999999999</v>
      </c>
      <c r="E31" s="272">
        <v>10.763</v>
      </c>
      <c r="F31" s="272">
        <v>5.7809999999999997</v>
      </c>
      <c r="G31" s="272">
        <v>0.92300000000000004</v>
      </c>
      <c r="H31" s="272">
        <v>0.52300000000000002</v>
      </c>
      <c r="I31" s="272">
        <v>0.43099999999999999</v>
      </c>
      <c r="J31" s="272">
        <v>0.246</v>
      </c>
      <c r="K31" s="272">
        <v>0</v>
      </c>
      <c r="L31" s="272">
        <v>0</v>
      </c>
      <c r="M31" s="272">
        <v>0</v>
      </c>
      <c r="N31" s="272">
        <v>0</v>
      </c>
      <c r="O31" s="272">
        <v>18.420999999999999</v>
      </c>
      <c r="P31" s="272">
        <v>18.667000000000002</v>
      </c>
      <c r="Q31" t="s">
        <v>484</v>
      </c>
    </row>
    <row r="32" spans="1:17">
      <c r="A32" s="267" t="s">
        <v>443</v>
      </c>
      <c r="B32" s="281"/>
      <c r="C32" s="281"/>
      <c r="D32" s="272">
        <v>99.444000000000003</v>
      </c>
      <c r="E32" s="272">
        <v>61.634</v>
      </c>
      <c r="F32" s="272">
        <v>23.815000000000001</v>
      </c>
      <c r="G32" s="272">
        <v>7.35</v>
      </c>
      <c r="H32" s="272">
        <v>4.4029999999999996</v>
      </c>
      <c r="I32" s="272">
        <v>1.663</v>
      </c>
      <c r="J32" s="272">
        <v>0.74399999999999999</v>
      </c>
      <c r="K32" s="272">
        <v>0.65500000000000003</v>
      </c>
      <c r="L32" s="272">
        <v>0.68799999999999994</v>
      </c>
      <c r="M32" s="272">
        <v>10.603</v>
      </c>
      <c r="N32" s="272">
        <v>-35.328000000000003</v>
      </c>
      <c r="O32" s="272">
        <v>98.864999999999995</v>
      </c>
      <c r="P32" s="272">
        <v>76.227000000000004</v>
      </c>
      <c r="Q32" t="s">
        <v>446</v>
      </c>
    </row>
    <row r="33" spans="1:16">
      <c r="A33" s="267"/>
      <c r="B33" s="281"/>
      <c r="C33" s="281"/>
      <c r="D33" s="283"/>
      <c r="E33" s="283"/>
      <c r="F33" s="283"/>
      <c r="G33" s="283"/>
      <c r="H33" s="283"/>
      <c r="I33" s="283"/>
      <c r="J33" s="283"/>
      <c r="K33" s="283"/>
      <c r="L33" s="283"/>
      <c r="M33" s="283"/>
      <c r="N33" s="283"/>
      <c r="O33" s="283"/>
      <c r="P33" s="283"/>
    </row>
    <row r="34" spans="1:16">
      <c r="A34" s="273"/>
      <c r="B34" s="273"/>
      <c r="C34" s="273" t="s">
        <v>5</v>
      </c>
      <c r="D34" s="274">
        <v>1777.13</v>
      </c>
      <c r="E34" s="274">
        <v>307.48399999999998</v>
      </c>
      <c r="F34" s="274">
        <v>99.084999999999994</v>
      </c>
      <c r="G34" s="274">
        <v>20.696999999999999</v>
      </c>
      <c r="H34" s="274">
        <v>10.087999999999999</v>
      </c>
      <c r="I34" s="274">
        <v>6.1630000000000003</v>
      </c>
      <c r="J34" s="274">
        <v>4.7300000000000004</v>
      </c>
      <c r="K34" s="274">
        <v>4.415</v>
      </c>
      <c r="L34" s="274">
        <v>4.468</v>
      </c>
      <c r="M34" s="274">
        <v>14.403</v>
      </c>
      <c r="N34" s="274">
        <v>-31.518000000000001</v>
      </c>
      <c r="O34" s="274">
        <v>443.517</v>
      </c>
      <c r="P34" s="274">
        <v>440.01499999999999</v>
      </c>
    </row>
    <row r="35" spans="1:16">
      <c r="A35" s="270"/>
      <c r="B35" s="270"/>
      <c r="C35" s="270"/>
      <c r="D35" s="300"/>
      <c r="E35" s="295"/>
      <c r="F35" s="271"/>
      <c r="G35" s="271"/>
      <c r="H35" s="271"/>
      <c r="I35" s="271"/>
      <c r="J35" s="271"/>
      <c r="K35" s="271"/>
      <c r="L35" s="271"/>
      <c r="M35" s="271"/>
      <c r="N35" s="271"/>
      <c r="O35" s="271"/>
      <c r="P35" s="271"/>
    </row>
    <row r="36" spans="1:16">
      <c r="A36" s="284" t="s">
        <v>476</v>
      </c>
      <c r="B36" s="284"/>
      <c r="C36" s="284"/>
      <c r="D36" s="285"/>
      <c r="E36" s="284"/>
      <c r="F36" s="284"/>
      <c r="G36" s="284"/>
      <c r="H36" s="284"/>
      <c r="I36" s="284"/>
      <c r="J36" s="284"/>
      <c r="K36" s="284"/>
      <c r="L36" s="284"/>
      <c r="M36" s="284"/>
      <c r="N36" s="284"/>
      <c r="O36" s="284"/>
      <c r="P36" s="284"/>
    </row>
    <row r="37" spans="1:16">
      <c r="A37" s="284"/>
      <c r="B37" s="284"/>
      <c r="C37" s="284"/>
      <c r="D37" s="285"/>
      <c r="E37" s="284"/>
      <c r="F37" s="284"/>
      <c r="G37" s="284"/>
      <c r="H37" s="284"/>
      <c r="I37" s="284"/>
      <c r="J37" s="284"/>
      <c r="K37" s="284"/>
      <c r="L37" s="284"/>
      <c r="M37" s="284"/>
      <c r="N37" s="284"/>
      <c r="O37" s="284"/>
      <c r="P37" s="284"/>
    </row>
    <row r="38" spans="1:16">
      <c r="A38" s="1502" t="s">
        <v>477</v>
      </c>
      <c r="B38" s="1502"/>
      <c r="C38" s="1502"/>
      <c r="D38" s="1502"/>
      <c r="E38" s="1502"/>
      <c r="F38" s="1502"/>
      <c r="G38" s="1502"/>
      <c r="H38" s="1502"/>
      <c r="I38" s="1502"/>
      <c r="J38" s="1502"/>
      <c r="K38" s="1502"/>
      <c r="L38" s="1502"/>
      <c r="M38" s="1502"/>
      <c r="N38" s="1502"/>
      <c r="O38" s="1502"/>
      <c r="P38" s="1502"/>
    </row>
    <row r="39" spans="1:16">
      <c r="A39" s="1502"/>
      <c r="B39" s="1502"/>
      <c r="C39" s="1502"/>
      <c r="D39" s="1502"/>
      <c r="E39" s="1502"/>
      <c r="F39" s="1502"/>
      <c r="G39" s="1502"/>
      <c r="H39" s="1502"/>
      <c r="I39" s="1502"/>
      <c r="J39" s="1502"/>
      <c r="K39" s="1502"/>
      <c r="L39" s="1502"/>
      <c r="M39" s="1502"/>
      <c r="N39" s="1502"/>
      <c r="O39" s="1502"/>
      <c r="P39" s="1502"/>
    </row>
    <row r="40" spans="1:16">
      <c r="A40" s="1502"/>
      <c r="B40" s="1502"/>
      <c r="C40" s="1502"/>
      <c r="D40" s="1502"/>
      <c r="E40" s="1502"/>
      <c r="F40" s="1502"/>
      <c r="G40" s="1502"/>
      <c r="H40" s="1502"/>
      <c r="I40" s="1502"/>
      <c r="J40" s="1502"/>
      <c r="K40" s="1502"/>
      <c r="L40" s="1502"/>
      <c r="M40" s="1502"/>
      <c r="N40" s="1502"/>
      <c r="O40" s="1502"/>
      <c r="P40" s="1502"/>
    </row>
    <row r="41" spans="1:16">
      <c r="A41" s="1502"/>
      <c r="B41" s="1502"/>
      <c r="C41" s="1502"/>
      <c r="D41" s="1502"/>
      <c r="E41" s="1502"/>
      <c r="F41" s="1502"/>
      <c r="G41" s="1502"/>
      <c r="H41" s="1502"/>
      <c r="I41" s="1502"/>
      <c r="J41" s="1502"/>
      <c r="K41" s="1502"/>
      <c r="L41" s="1502"/>
      <c r="M41" s="1502"/>
      <c r="N41" s="1502"/>
      <c r="O41" s="1502"/>
      <c r="P41" s="1502"/>
    </row>
    <row r="42" spans="1:16">
      <c r="A42" s="1502"/>
      <c r="B42" s="1502"/>
      <c r="C42" s="1502"/>
      <c r="D42" s="1502"/>
      <c r="E42" s="1502"/>
      <c r="F42" s="1502"/>
      <c r="G42" s="1502"/>
      <c r="H42" s="1502"/>
      <c r="I42" s="1502"/>
      <c r="J42" s="1502"/>
      <c r="K42" s="1502"/>
      <c r="L42" s="1502"/>
      <c r="M42" s="1502"/>
      <c r="N42" s="1502"/>
      <c r="O42" s="1502"/>
      <c r="P42" s="1502"/>
    </row>
    <row r="43" spans="1:16">
      <c r="A43" s="291"/>
      <c r="B43" s="291"/>
      <c r="C43" s="291"/>
      <c r="D43" s="291"/>
      <c r="E43" s="291"/>
      <c r="F43" s="291"/>
      <c r="G43" s="291"/>
      <c r="H43" s="291"/>
      <c r="I43" s="291"/>
      <c r="J43" s="291"/>
      <c r="K43" s="291"/>
      <c r="L43" s="291"/>
      <c r="M43" s="291"/>
      <c r="N43" s="291"/>
      <c r="O43" s="291"/>
      <c r="P43" s="291"/>
    </row>
    <row r="44" spans="1:16">
      <c r="A44" s="1503" t="s">
        <v>478</v>
      </c>
      <c r="B44" s="1503"/>
      <c r="C44" s="1503"/>
      <c r="D44" s="1503"/>
      <c r="E44" s="1503"/>
      <c r="F44" s="1503"/>
      <c r="G44" s="1503"/>
      <c r="H44" s="1503"/>
      <c r="I44" s="1503"/>
      <c r="J44" s="1503"/>
      <c r="K44" s="1503"/>
      <c r="L44" s="1503"/>
      <c r="M44" s="1503"/>
      <c r="N44" s="1503"/>
      <c r="O44" s="1503"/>
      <c r="P44" s="1503"/>
    </row>
    <row r="45" spans="1:16">
      <c r="A45" s="1503"/>
      <c r="B45" s="1503"/>
      <c r="C45" s="1503"/>
      <c r="D45" s="1503"/>
      <c r="E45" s="1503"/>
      <c r="F45" s="1503"/>
      <c r="G45" s="1503"/>
      <c r="H45" s="1503"/>
      <c r="I45" s="1503"/>
      <c r="J45" s="1503"/>
      <c r="K45" s="1503"/>
      <c r="L45" s="1503"/>
      <c r="M45" s="1503"/>
      <c r="N45" s="1503"/>
      <c r="O45" s="1503"/>
      <c r="P45" s="1503"/>
    </row>
    <row r="46" spans="1:16">
      <c r="A46" s="1503"/>
      <c r="B46" s="1503"/>
      <c r="C46" s="1503"/>
      <c r="D46" s="1503"/>
      <c r="E46" s="1503"/>
      <c r="F46" s="1503"/>
      <c r="G46" s="1503"/>
      <c r="H46" s="1503"/>
      <c r="I46" s="1503"/>
      <c r="J46" s="1503"/>
      <c r="K46" s="1503"/>
      <c r="L46" s="1503"/>
      <c r="M46" s="1503"/>
      <c r="N46" s="1503"/>
      <c r="O46" s="1503"/>
      <c r="P46" s="1503"/>
    </row>
    <row r="47" spans="1:16">
      <c r="A47" s="284"/>
      <c r="B47" s="284"/>
      <c r="C47" s="284"/>
      <c r="D47" s="285"/>
      <c r="E47" s="284"/>
      <c r="F47" s="284"/>
      <c r="G47" s="284"/>
      <c r="H47" s="284"/>
      <c r="I47" s="284"/>
      <c r="J47" s="284"/>
      <c r="K47" s="284"/>
      <c r="L47" s="284"/>
      <c r="M47" s="284"/>
      <c r="N47" s="284"/>
      <c r="O47" s="284"/>
      <c r="P47" s="284"/>
    </row>
    <row r="48" spans="1:16">
      <c r="A48" s="1500" t="s">
        <v>479</v>
      </c>
      <c r="B48" s="1501"/>
      <c r="C48" s="1501"/>
      <c r="D48" s="1501"/>
      <c r="E48" s="1501"/>
      <c r="F48" s="1501"/>
      <c r="G48" s="1501"/>
      <c r="H48" s="1501"/>
      <c r="I48" s="1501"/>
      <c r="J48" s="1501"/>
      <c r="K48" s="1501"/>
      <c r="L48" s="1501"/>
      <c r="M48" s="1501"/>
      <c r="N48" s="1501"/>
      <c r="O48" s="1501"/>
      <c r="P48" s="1501"/>
    </row>
    <row r="49" spans="1:16">
      <c r="A49" s="1501"/>
      <c r="B49" s="1501"/>
      <c r="C49" s="1501"/>
      <c r="D49" s="1501"/>
      <c r="E49" s="1501"/>
      <c r="F49" s="1501"/>
      <c r="G49" s="1501"/>
      <c r="H49" s="1501"/>
      <c r="I49" s="1501"/>
      <c r="J49" s="1501"/>
      <c r="K49" s="1501"/>
      <c r="L49" s="1501"/>
      <c r="M49" s="1501"/>
      <c r="N49" s="1501"/>
      <c r="O49" s="1501"/>
      <c r="P49" s="1501"/>
    </row>
    <row r="50" spans="1:16">
      <c r="A50" s="284"/>
      <c r="B50" s="284"/>
      <c r="C50" s="284"/>
      <c r="D50" s="285"/>
      <c r="E50" s="284"/>
      <c r="F50" s="284"/>
      <c r="G50" s="284"/>
      <c r="H50" s="284"/>
      <c r="I50" s="284"/>
      <c r="J50" s="284"/>
      <c r="K50" s="284"/>
      <c r="L50" s="284"/>
      <c r="M50" s="284"/>
      <c r="N50" s="284"/>
      <c r="O50" s="284"/>
      <c r="P50" s="284"/>
    </row>
    <row r="51" spans="1:16">
      <c r="A51" s="1495" t="s">
        <v>480</v>
      </c>
      <c r="B51" s="1495"/>
      <c r="C51" s="1495"/>
      <c r="D51" s="1495"/>
      <c r="E51" s="1495"/>
      <c r="F51" s="1495"/>
      <c r="G51" s="1495"/>
      <c r="H51" s="1495"/>
      <c r="I51" s="1495"/>
      <c r="J51" s="1495"/>
      <c r="K51" s="1495"/>
      <c r="L51" s="1495"/>
      <c r="M51" s="1495"/>
      <c r="N51" s="1495"/>
      <c r="O51" s="1495"/>
      <c r="P51" s="1495"/>
    </row>
    <row r="52" spans="1:16">
      <c r="A52" s="1495"/>
      <c r="B52" s="1495"/>
      <c r="C52" s="1495"/>
      <c r="D52" s="1495"/>
      <c r="E52" s="1495"/>
      <c r="F52" s="1495"/>
      <c r="G52" s="1495"/>
      <c r="H52" s="1495"/>
      <c r="I52" s="1495"/>
      <c r="J52" s="1495"/>
      <c r="K52" s="1495"/>
      <c r="L52" s="1495"/>
      <c r="M52" s="1495"/>
      <c r="N52" s="1495"/>
      <c r="O52" s="1495"/>
      <c r="P52" s="1495"/>
    </row>
    <row r="53" spans="1:16">
      <c r="A53" s="1495"/>
      <c r="B53" s="1495"/>
      <c r="C53" s="1495"/>
      <c r="D53" s="1495"/>
      <c r="E53" s="1495"/>
      <c r="F53" s="1495"/>
      <c r="G53" s="1495"/>
      <c r="H53" s="1495"/>
      <c r="I53" s="1495"/>
      <c r="J53" s="1495"/>
      <c r="K53" s="1495"/>
      <c r="L53" s="1495"/>
      <c r="M53" s="1495"/>
      <c r="N53" s="1495"/>
      <c r="O53" s="1495"/>
      <c r="P53" s="1495"/>
    </row>
    <row r="54" spans="1:16">
      <c r="A54" s="286"/>
      <c r="B54" s="286"/>
      <c r="C54" s="286"/>
      <c r="D54" s="287"/>
      <c r="E54" s="286"/>
      <c r="F54" s="286"/>
      <c r="G54" s="286"/>
      <c r="H54" s="286"/>
      <c r="I54" s="286"/>
      <c r="J54" s="286"/>
      <c r="K54" s="286"/>
      <c r="L54" s="286"/>
      <c r="M54" s="286"/>
      <c r="N54" s="286"/>
      <c r="O54" s="286"/>
      <c r="P54" s="286"/>
    </row>
  </sheetData>
  <mergeCells count="6">
    <mergeCell ref="A51:P53"/>
    <mergeCell ref="A7:P7"/>
    <mergeCell ref="O10:P10"/>
    <mergeCell ref="A48:P49"/>
    <mergeCell ref="A38:P42"/>
    <mergeCell ref="A44:P46"/>
  </mergeCells>
  <hyperlinks>
    <hyperlink ref="A4" r:id="rId1" xr:uid="{00000000-0004-0000-08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490F3-3B18-4FD2-9B5C-339A666C298D}">
  <dimension ref="A1:J50"/>
  <sheetViews>
    <sheetView zoomScale="83" workbookViewId="0">
      <selection activeCell="A36" sqref="A36"/>
    </sheetView>
  </sheetViews>
  <sheetFormatPr baseColWidth="10" defaultColWidth="8.83203125" defaultRowHeight="14"/>
  <cols>
    <col min="1" max="1" width="77.83203125" style="36" bestFit="1" customWidth="1"/>
    <col min="2" max="2" width="21" style="36" customWidth="1"/>
    <col min="3" max="4" width="8.83203125" style="36"/>
    <col min="5" max="5" width="37.6640625" style="36" customWidth="1"/>
    <col min="6" max="6" width="16" style="36" customWidth="1"/>
    <col min="7" max="16384" width="8.83203125" style="36"/>
  </cols>
  <sheetData>
    <row r="1" spans="1:10">
      <c r="A1" s="36" t="s">
        <v>351</v>
      </c>
      <c r="C1" s="120"/>
      <c r="D1" s="120"/>
      <c r="E1" s="120"/>
      <c r="F1" s="120"/>
      <c r="G1" s="120"/>
      <c r="H1" s="120"/>
      <c r="I1" s="120"/>
      <c r="J1" s="120"/>
    </row>
    <row r="2" spans="1:10" ht="20">
      <c r="A2" s="121" t="s">
        <v>302</v>
      </c>
      <c r="B2" s="121" t="s">
        <v>349</v>
      </c>
      <c r="C2" s="163" t="s">
        <v>369</v>
      </c>
      <c r="D2" s="163" t="s">
        <v>388</v>
      </c>
      <c r="E2" s="122"/>
      <c r="F2" s="122"/>
      <c r="G2" s="122"/>
      <c r="H2" s="37"/>
      <c r="I2" s="120"/>
      <c r="J2" s="120"/>
    </row>
    <row r="3" spans="1:10">
      <c r="A3" s="124" t="s">
        <v>303</v>
      </c>
      <c r="B3" s="123">
        <f>SUM(B4:B7)</f>
        <v>325</v>
      </c>
      <c r="C3" s="120"/>
      <c r="D3" s="120"/>
      <c r="E3" s="1504" t="s">
        <v>355</v>
      </c>
      <c r="F3" s="1504"/>
      <c r="G3" s="120"/>
      <c r="H3" s="120"/>
      <c r="I3" s="120"/>
      <c r="J3" s="120"/>
    </row>
    <row r="4" spans="1:10">
      <c r="A4" s="113" t="s">
        <v>304</v>
      </c>
      <c r="B4" s="123">
        <v>284</v>
      </c>
      <c r="C4" s="120"/>
      <c r="D4" s="120"/>
      <c r="E4" s="119" t="s">
        <v>101</v>
      </c>
      <c r="F4" s="119" t="s">
        <v>354</v>
      </c>
      <c r="G4" s="120"/>
      <c r="H4" s="120"/>
      <c r="I4" s="120"/>
      <c r="J4" s="120"/>
    </row>
    <row r="5" spans="1:10">
      <c r="A5" s="113" t="s">
        <v>305</v>
      </c>
      <c r="B5" s="123">
        <v>20</v>
      </c>
      <c r="C5" s="120"/>
      <c r="D5" s="120"/>
      <c r="E5" s="120" t="s">
        <v>290</v>
      </c>
      <c r="F5" s="120">
        <f>SUM(B11:B16)</f>
        <v>82</v>
      </c>
      <c r="G5" s="120"/>
      <c r="H5" s="120"/>
      <c r="I5" s="120"/>
      <c r="J5" s="120"/>
    </row>
    <row r="6" spans="1:10">
      <c r="A6" s="113" t="s">
        <v>306</v>
      </c>
      <c r="B6" s="123">
        <v>15</v>
      </c>
      <c r="C6" s="120"/>
      <c r="D6" s="120"/>
      <c r="E6" s="120" t="s">
        <v>390</v>
      </c>
      <c r="F6" s="120">
        <f>B23</f>
        <v>3</v>
      </c>
      <c r="G6" s="120"/>
      <c r="H6" s="120"/>
      <c r="I6" s="120"/>
      <c r="J6" s="120"/>
    </row>
    <row r="7" spans="1:10">
      <c r="A7" s="113" t="s">
        <v>307</v>
      </c>
      <c r="B7" s="123">
        <v>6</v>
      </c>
      <c r="C7" s="120"/>
      <c r="D7" s="120"/>
      <c r="E7" s="120" t="s">
        <v>288</v>
      </c>
      <c r="F7" s="120">
        <f>B27-B28</f>
        <v>29</v>
      </c>
      <c r="G7" s="120"/>
      <c r="H7" s="120"/>
      <c r="I7" s="120"/>
      <c r="J7" s="120"/>
    </row>
    <row r="8" spans="1:10">
      <c r="A8" s="119" t="s">
        <v>308</v>
      </c>
      <c r="B8" s="123">
        <v>121</v>
      </c>
      <c r="E8" s="120" t="s">
        <v>389</v>
      </c>
      <c r="F8" s="120">
        <f>B42</f>
        <v>2</v>
      </c>
    </row>
    <row r="9" spans="1:10">
      <c r="A9" s="125" t="s">
        <v>309</v>
      </c>
      <c r="B9" s="123">
        <v>166</v>
      </c>
      <c r="E9" s="36" t="s">
        <v>391</v>
      </c>
      <c r="F9" s="36">
        <f>B18+B20+B21</f>
        <v>34</v>
      </c>
    </row>
    <row r="10" spans="1:10">
      <c r="A10" s="114" t="s">
        <v>287</v>
      </c>
      <c r="B10" s="123">
        <v>82</v>
      </c>
      <c r="E10" s="57" t="s">
        <v>353</v>
      </c>
      <c r="F10" s="57" t="s">
        <v>352</v>
      </c>
    </row>
    <row r="11" spans="1:10">
      <c r="A11" s="113" t="s">
        <v>311</v>
      </c>
      <c r="B11" s="123">
        <v>54</v>
      </c>
      <c r="E11" s="36" t="s">
        <v>362</v>
      </c>
      <c r="F11" s="36">
        <f>B4</f>
        <v>284</v>
      </c>
    </row>
    <row r="12" spans="1:10">
      <c r="A12" s="113" t="s">
        <v>312</v>
      </c>
      <c r="B12" s="123">
        <v>20</v>
      </c>
      <c r="E12" s="36" t="s">
        <v>363</v>
      </c>
      <c r="F12" s="36">
        <f>B5</f>
        <v>20</v>
      </c>
    </row>
    <row r="13" spans="1:10">
      <c r="A13" s="113" t="s">
        <v>346</v>
      </c>
      <c r="B13" s="123">
        <v>4</v>
      </c>
      <c r="E13" s="36" t="s">
        <v>306</v>
      </c>
      <c r="F13" s="36">
        <f>B6</f>
        <v>15</v>
      </c>
    </row>
    <row r="14" spans="1:10" ht="30">
      <c r="A14" s="113" t="s">
        <v>313</v>
      </c>
      <c r="B14" s="123">
        <v>2</v>
      </c>
      <c r="E14" s="44" t="s">
        <v>307</v>
      </c>
      <c r="F14" s="36">
        <f>B7</f>
        <v>6</v>
      </c>
    </row>
    <row r="15" spans="1:10" ht="30">
      <c r="A15" s="113" t="s">
        <v>314</v>
      </c>
      <c r="B15" s="123">
        <v>1</v>
      </c>
      <c r="E15" s="44" t="s">
        <v>326</v>
      </c>
      <c r="F15" s="36">
        <f>B28</f>
        <v>15</v>
      </c>
    </row>
    <row r="16" spans="1:10">
      <c r="A16" s="113" t="s">
        <v>316</v>
      </c>
      <c r="B16" s="123">
        <v>1</v>
      </c>
      <c r="E16" s="36" t="s">
        <v>333</v>
      </c>
      <c r="F16" s="36">
        <f>B37</f>
        <v>12</v>
      </c>
    </row>
    <row r="17" spans="1:6">
      <c r="A17" s="57" t="s">
        <v>318</v>
      </c>
      <c r="B17" s="123">
        <v>72</v>
      </c>
      <c r="E17" s="36" t="s">
        <v>334</v>
      </c>
      <c r="F17" s="36">
        <f>B38</f>
        <v>10</v>
      </c>
    </row>
    <row r="18" spans="1:6">
      <c r="A18" s="113" t="s">
        <v>319</v>
      </c>
      <c r="B18" s="123">
        <v>22</v>
      </c>
      <c r="C18" s="36" t="s">
        <v>370</v>
      </c>
    </row>
    <row r="19" spans="1:6">
      <c r="A19" s="113" t="s">
        <v>310</v>
      </c>
      <c r="B19" s="123">
        <v>20</v>
      </c>
      <c r="C19" s="36" t="s">
        <v>382</v>
      </c>
    </row>
    <row r="20" spans="1:6">
      <c r="A20" s="113" t="s">
        <v>320</v>
      </c>
      <c r="B20" s="123">
        <v>8</v>
      </c>
      <c r="C20" s="36" t="s">
        <v>370</v>
      </c>
    </row>
    <row r="21" spans="1:6">
      <c r="A21" s="113" t="s">
        <v>321</v>
      </c>
      <c r="B21" s="123">
        <v>4</v>
      </c>
      <c r="C21" s="36" t="s">
        <v>101</v>
      </c>
    </row>
    <row r="22" spans="1:6">
      <c r="A22" s="127" t="s">
        <v>356</v>
      </c>
      <c r="B22" s="123">
        <v>4</v>
      </c>
      <c r="C22" s="36" t="s">
        <v>382</v>
      </c>
    </row>
    <row r="23" spans="1:6">
      <c r="A23" s="113" t="s">
        <v>322</v>
      </c>
      <c r="B23" s="123">
        <v>3</v>
      </c>
      <c r="C23" s="36" t="s">
        <v>383</v>
      </c>
    </row>
    <row r="24" spans="1:6">
      <c r="A24" s="127" t="s">
        <v>323</v>
      </c>
      <c r="B24" s="123">
        <v>3</v>
      </c>
      <c r="C24" s="36" t="s">
        <v>384</v>
      </c>
    </row>
    <row r="25" spans="1:6">
      <c r="A25" s="126" t="s">
        <v>324</v>
      </c>
      <c r="B25" s="123">
        <v>3</v>
      </c>
      <c r="C25" s="36" t="s">
        <v>385</v>
      </c>
    </row>
    <row r="26" spans="1:6">
      <c r="A26" s="113" t="s">
        <v>325</v>
      </c>
      <c r="B26" s="123">
        <v>4</v>
      </c>
      <c r="C26" s="36" t="s">
        <v>371</v>
      </c>
    </row>
    <row r="27" spans="1:6">
      <c r="A27" s="57" t="s">
        <v>288</v>
      </c>
      <c r="B27" s="123">
        <v>44</v>
      </c>
    </row>
    <row r="28" spans="1:6">
      <c r="A28" s="153" t="s">
        <v>326</v>
      </c>
      <c r="B28" s="154">
        <v>15</v>
      </c>
    </row>
    <row r="29" spans="1:6">
      <c r="A29" s="113" t="s">
        <v>327</v>
      </c>
      <c r="B29" s="123">
        <v>14</v>
      </c>
    </row>
    <row r="30" spans="1:6">
      <c r="A30" s="113" t="s">
        <v>328</v>
      </c>
      <c r="B30" s="123">
        <v>10</v>
      </c>
    </row>
    <row r="31" spans="1:6">
      <c r="A31" s="113" t="s">
        <v>329</v>
      </c>
      <c r="B31" s="123">
        <v>2</v>
      </c>
    </row>
    <row r="32" spans="1:6">
      <c r="A32" s="113" t="s">
        <v>330</v>
      </c>
      <c r="B32" s="123">
        <v>2</v>
      </c>
    </row>
    <row r="33" spans="1:6">
      <c r="A33" s="113" t="s">
        <v>331</v>
      </c>
      <c r="B33" s="123">
        <v>1</v>
      </c>
    </row>
    <row r="34" spans="1:6">
      <c r="A34" s="57" t="s">
        <v>315</v>
      </c>
      <c r="B34" s="123">
        <v>88</v>
      </c>
    </row>
    <row r="35" spans="1:6">
      <c r="A35" s="126" t="s">
        <v>332</v>
      </c>
      <c r="B35" s="123">
        <v>26</v>
      </c>
    </row>
    <row r="36" spans="1:6">
      <c r="A36" s="127" t="s">
        <v>365</v>
      </c>
      <c r="B36" s="123">
        <v>25</v>
      </c>
    </row>
    <row r="37" spans="1:6">
      <c r="A37" s="113" t="s">
        <v>333</v>
      </c>
      <c r="B37" s="123">
        <v>12</v>
      </c>
      <c r="C37" s="36" t="s">
        <v>380</v>
      </c>
      <c r="E37" s="36" t="s">
        <v>374</v>
      </c>
      <c r="F37" s="36" t="s">
        <v>375</v>
      </c>
    </row>
    <row r="38" spans="1:6">
      <c r="A38" s="113" t="s">
        <v>334</v>
      </c>
      <c r="B38" s="123">
        <v>10</v>
      </c>
      <c r="C38" s="36" t="s">
        <v>380</v>
      </c>
      <c r="E38" s="36" t="s">
        <v>381</v>
      </c>
      <c r="F38" s="36" t="s">
        <v>376</v>
      </c>
    </row>
    <row r="39" spans="1:6">
      <c r="A39" s="113" t="s">
        <v>335</v>
      </c>
      <c r="B39" s="123">
        <v>7</v>
      </c>
      <c r="C39" s="36" t="s">
        <v>371</v>
      </c>
      <c r="E39" s="36" t="s">
        <v>378</v>
      </c>
      <c r="F39" s="36" t="s">
        <v>377</v>
      </c>
    </row>
    <row r="40" spans="1:6">
      <c r="A40" s="113" t="s">
        <v>336</v>
      </c>
      <c r="B40" s="123">
        <v>5</v>
      </c>
      <c r="C40" s="36" t="s">
        <v>382</v>
      </c>
      <c r="E40" s="36" t="s">
        <v>379</v>
      </c>
    </row>
    <row r="41" spans="1:6">
      <c r="A41" s="113" t="s">
        <v>337</v>
      </c>
      <c r="B41" s="123">
        <v>2</v>
      </c>
      <c r="C41" s="36" t="s">
        <v>371</v>
      </c>
      <c r="E41" s="36" t="s">
        <v>373</v>
      </c>
    </row>
    <row r="42" spans="1:6">
      <c r="A42" s="113" t="s">
        <v>338</v>
      </c>
      <c r="B42" s="123">
        <v>2</v>
      </c>
      <c r="C42" s="36" t="s">
        <v>370</v>
      </c>
      <c r="E42" s="162" t="s">
        <v>368</v>
      </c>
    </row>
    <row r="43" spans="1:6">
      <c r="A43" s="113" t="s">
        <v>339</v>
      </c>
      <c r="B43" s="123">
        <v>0</v>
      </c>
      <c r="E43" s="36" t="s">
        <v>372</v>
      </c>
    </row>
    <row r="44" spans="1:6">
      <c r="A44" s="119" t="s">
        <v>317</v>
      </c>
      <c r="B44" s="128">
        <v>40</v>
      </c>
    </row>
    <row r="45" spans="1:6">
      <c r="A45" s="126" t="s">
        <v>340</v>
      </c>
      <c r="B45" s="129">
        <v>21</v>
      </c>
    </row>
    <row r="46" spans="1:6">
      <c r="A46" s="127" t="s">
        <v>341</v>
      </c>
      <c r="B46" s="128">
        <v>6</v>
      </c>
    </row>
    <row r="47" spans="1:6">
      <c r="A47" s="126" t="s">
        <v>342</v>
      </c>
      <c r="B47" s="129">
        <v>4</v>
      </c>
    </row>
    <row r="48" spans="1:6">
      <c r="A48" s="127" t="s">
        <v>343</v>
      </c>
      <c r="B48" s="128">
        <v>4</v>
      </c>
    </row>
    <row r="49" spans="1:2">
      <c r="A49" s="126" t="s">
        <v>344</v>
      </c>
      <c r="B49" s="129">
        <v>3</v>
      </c>
    </row>
    <row r="50" spans="1:2">
      <c r="A50" s="127" t="s">
        <v>345</v>
      </c>
      <c r="B50" s="128">
        <v>2</v>
      </c>
    </row>
  </sheetData>
  <mergeCells count="1">
    <mergeCell ref="E3:F3"/>
  </mergeCells>
  <phoneticPr fontId="53" type="noConversion"/>
  <pageMargins left="0.7" right="0.7" top="0.75" bottom="0.75" header="0.3" footer="0.3"/>
  <pageSetup orientation="portrait" horizontalDpi="300" verticalDpi="300" r:id="rId1"/>
  <legacyDrawing r:id="rId2"/>
  <tableParts count="1">
    <tablePart r:id="rId3"/>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E85BE-20B9-456D-A367-59F71A5FBB41}">
  <dimension ref="A1:BJ502"/>
  <sheetViews>
    <sheetView topLeftCell="AM1" zoomScale="99" zoomScaleNormal="90" workbookViewId="0">
      <selection activeCell="BH5" sqref="BH5"/>
    </sheetView>
  </sheetViews>
  <sheetFormatPr baseColWidth="10" defaultColWidth="9" defaultRowHeight="15"/>
  <cols>
    <col min="1" max="1" width="6.33203125" customWidth="1"/>
    <col min="2" max="2" width="8.1640625" style="308" bestFit="1" customWidth="1"/>
    <col min="3" max="3" width="9" style="308"/>
    <col min="4" max="4" width="7.1640625" style="324" bestFit="1" customWidth="1"/>
    <col min="5" max="5" width="8.83203125" style="308" bestFit="1" customWidth="1"/>
    <col min="6" max="6" width="9" style="308"/>
    <col min="7" max="7" width="8.1640625" style="308" bestFit="1" customWidth="1"/>
    <col min="8" max="8" width="7.1640625" style="308" bestFit="1" customWidth="1"/>
    <col min="9" max="9" width="9" style="324"/>
    <col min="10" max="10" width="8.5" style="324" bestFit="1" customWidth="1"/>
    <col min="11" max="11" width="9" style="324"/>
    <col min="12" max="12" width="8.5" style="308" bestFit="1" customWidth="1"/>
    <col min="13" max="13" width="8.6640625" style="308" bestFit="1" customWidth="1"/>
    <col min="14" max="14" width="7.6640625" style="324" bestFit="1" customWidth="1"/>
    <col min="15" max="36" width="8.6640625" customWidth="1"/>
    <col min="37" max="40" width="8.6640625" style="308" customWidth="1"/>
    <col min="41" max="41" width="8.6640625" style="560" customWidth="1"/>
    <col min="42" max="42" width="8.6640625" customWidth="1"/>
    <col min="43" max="46" width="8.6640625" style="560" customWidth="1"/>
    <col min="47" max="51" width="8.6640625" customWidth="1"/>
    <col min="52" max="52" width="8.6640625" style="560" customWidth="1"/>
    <col min="53" max="53" width="8.6640625" style="308" customWidth="1"/>
    <col min="54" max="62" width="8.6640625" customWidth="1"/>
  </cols>
  <sheetData>
    <row r="1" spans="1:62" s="308" customFormat="1">
      <c r="D1" s="324"/>
      <c r="I1" s="1505"/>
      <c r="J1" s="1505"/>
      <c r="K1" s="1505"/>
      <c r="N1" s="324"/>
      <c r="AO1" s="560"/>
      <c r="AQ1" s="560"/>
      <c r="AR1" s="560"/>
      <c r="AS1" s="560"/>
      <c r="AT1" s="560"/>
      <c r="AZ1" s="560"/>
    </row>
    <row r="2" spans="1:62" s="1" customFormat="1" ht="13" customHeight="1">
      <c r="A2" s="315"/>
      <c r="O2" s="1506" t="s">
        <v>8</v>
      </c>
      <c r="P2" s="1506"/>
      <c r="Q2" s="1506"/>
      <c r="R2" s="1506"/>
      <c r="S2" s="1506"/>
      <c r="T2" s="314"/>
      <c r="U2" s="314"/>
      <c r="V2" s="314"/>
      <c r="W2" s="314"/>
      <c r="X2" s="314"/>
      <c r="Y2" s="1507" t="s">
        <v>9</v>
      </c>
      <c r="Z2" s="1508"/>
      <c r="AA2" s="1508"/>
      <c r="AB2" s="1508"/>
      <c r="AC2" s="1508"/>
      <c r="AD2" s="1508"/>
      <c r="AE2" s="314"/>
      <c r="AF2" s="314"/>
      <c r="AG2" s="1509" t="s">
        <v>10</v>
      </c>
      <c r="AH2" s="1508"/>
      <c r="AI2" s="1508"/>
      <c r="AJ2" s="1511" t="s">
        <v>11</v>
      </c>
      <c r="AK2" s="1511"/>
      <c r="AL2" s="1511"/>
      <c r="AM2" s="1511"/>
      <c r="AN2" s="1511"/>
      <c r="AO2" s="1511"/>
      <c r="AP2" s="1511"/>
      <c r="AQ2" s="1511"/>
      <c r="AR2" s="1511"/>
      <c r="AS2" s="1511"/>
      <c r="AT2" s="820"/>
      <c r="AU2" s="1510" t="s">
        <v>144</v>
      </c>
      <c r="AV2" s="1510"/>
      <c r="AW2" s="1510"/>
      <c r="AX2" s="1510"/>
      <c r="AY2" s="1510"/>
      <c r="AZ2" s="1510"/>
      <c r="BA2" s="1510"/>
      <c r="BB2" s="611"/>
      <c r="BC2" s="611"/>
      <c r="BD2" s="611"/>
      <c r="BE2" s="611"/>
      <c r="BF2" s="611"/>
      <c r="BG2" s="611"/>
      <c r="BH2" s="611"/>
      <c r="BI2" s="611"/>
      <c r="BJ2" s="620" t="s">
        <v>711</v>
      </c>
    </row>
    <row r="3" spans="1:62" ht="48">
      <c r="A3" s="316"/>
      <c r="B3" s="316"/>
      <c r="C3" s="316"/>
      <c r="D3" s="316"/>
      <c r="E3" s="316"/>
      <c r="F3" s="316"/>
      <c r="G3" s="316"/>
      <c r="H3" s="316"/>
      <c r="I3" s="316"/>
      <c r="J3" s="316"/>
      <c r="K3" s="316"/>
      <c r="L3" s="316"/>
      <c r="M3" s="316"/>
      <c r="N3" s="316"/>
      <c r="O3" s="3" t="s">
        <v>12</v>
      </c>
      <c r="P3" s="3" t="s">
        <v>13</v>
      </c>
      <c r="Q3" s="3" t="s">
        <v>14</v>
      </c>
      <c r="R3" s="3" t="s">
        <v>15</v>
      </c>
      <c r="S3" s="3" t="s">
        <v>16</v>
      </c>
      <c r="T3" s="3" t="s">
        <v>17</v>
      </c>
      <c r="U3" s="3" t="s">
        <v>18</v>
      </c>
      <c r="V3" s="3" t="s">
        <v>19</v>
      </c>
      <c r="W3" s="3" t="s">
        <v>20</v>
      </c>
      <c r="X3" s="3" t="s">
        <v>21</v>
      </c>
      <c r="Y3" s="3" t="s">
        <v>22</v>
      </c>
      <c r="Z3" s="3"/>
      <c r="AA3" s="3"/>
      <c r="AB3" s="3"/>
      <c r="AC3" s="3" t="s">
        <v>23</v>
      </c>
      <c r="AD3" s="3" t="s">
        <v>24</v>
      </c>
      <c r="AE3" s="3" t="s">
        <v>25</v>
      </c>
      <c r="AF3" s="3" t="s">
        <v>26</v>
      </c>
      <c r="AG3" s="3" t="s">
        <v>27</v>
      </c>
      <c r="AH3" s="3" t="s">
        <v>28</v>
      </c>
      <c r="AI3" s="3" t="s">
        <v>29</v>
      </c>
      <c r="AJ3" s="3" t="s">
        <v>30</v>
      </c>
      <c r="AK3" s="3" t="s">
        <v>32</v>
      </c>
      <c r="AL3" s="3" t="s">
        <v>34</v>
      </c>
      <c r="AM3" s="3" t="s">
        <v>36</v>
      </c>
      <c r="AN3" s="349" t="s">
        <v>37</v>
      </c>
      <c r="AO3" s="349" t="s">
        <v>45</v>
      </c>
      <c r="AP3" s="3" t="s">
        <v>31</v>
      </c>
      <c r="AQ3" s="4" t="s">
        <v>39</v>
      </c>
      <c r="AR3" s="3" t="s">
        <v>40</v>
      </c>
      <c r="AS3" s="3" t="s">
        <v>42</v>
      </c>
      <c r="AT3" s="349" t="s">
        <v>44</v>
      </c>
      <c r="AU3" s="3" t="s">
        <v>33</v>
      </c>
      <c r="AV3" s="3" t="s">
        <v>38</v>
      </c>
      <c r="AW3" s="3" t="s">
        <v>41</v>
      </c>
      <c r="AX3" s="3" t="s">
        <v>43</v>
      </c>
      <c r="AY3" s="3" t="s">
        <v>47</v>
      </c>
      <c r="AZ3" s="3" t="s">
        <v>35</v>
      </c>
      <c r="BA3" s="3" t="s">
        <v>23</v>
      </c>
      <c r="BB3" s="621" t="s">
        <v>48</v>
      </c>
      <c r="BC3" s="621" t="s">
        <v>1194</v>
      </c>
      <c r="BD3" s="621" t="s">
        <v>1193</v>
      </c>
      <c r="BE3" s="621" t="s">
        <v>49</v>
      </c>
      <c r="BF3" s="621" t="s">
        <v>50</v>
      </c>
      <c r="BG3" s="621" t="s">
        <v>51</v>
      </c>
      <c r="BH3" s="621" t="s">
        <v>52</v>
      </c>
      <c r="BI3" s="621" t="s">
        <v>53</v>
      </c>
      <c r="BJ3" s="615" t="s">
        <v>46</v>
      </c>
    </row>
    <row r="4" spans="1:62" s="612" customFormat="1" ht="63" customHeight="1">
      <c r="A4" s="624" t="s">
        <v>537</v>
      </c>
      <c r="B4" s="315" t="s">
        <v>131</v>
      </c>
      <c r="C4" s="315" t="s">
        <v>516</v>
      </c>
      <c r="D4" s="315" t="s">
        <v>433</v>
      </c>
      <c r="E4" s="315" t="s">
        <v>513</v>
      </c>
      <c r="F4" s="315" t="s">
        <v>515</v>
      </c>
      <c r="G4" s="315" t="s">
        <v>1198</v>
      </c>
      <c r="H4" s="315" t="s">
        <v>514</v>
      </c>
      <c r="I4" s="338" t="s">
        <v>367</v>
      </c>
      <c r="J4" s="338" t="s">
        <v>290</v>
      </c>
      <c r="K4" s="338" t="s">
        <v>546</v>
      </c>
      <c r="L4" s="327" t="s">
        <v>532</v>
      </c>
      <c r="M4" s="315" t="s">
        <v>382</v>
      </c>
      <c r="N4" s="315" t="s">
        <v>544</v>
      </c>
      <c r="O4" s="621" t="s">
        <v>55</v>
      </c>
      <c r="P4" s="621" t="s">
        <v>56</v>
      </c>
      <c r="Q4" s="621" t="s">
        <v>57</v>
      </c>
      <c r="R4" s="621" t="s">
        <v>58</v>
      </c>
      <c r="S4" s="621" t="s">
        <v>59</v>
      </c>
      <c r="T4" s="621" t="s">
        <v>60</v>
      </c>
      <c r="U4" s="621" t="s">
        <v>61</v>
      </c>
      <c r="V4" s="621" t="s">
        <v>62</v>
      </c>
      <c r="W4" s="621" t="s">
        <v>63</v>
      </c>
      <c r="X4" s="621" t="s">
        <v>64</v>
      </c>
      <c r="Y4" s="621" t="s">
        <v>65</v>
      </c>
      <c r="Z4" s="621" t="s">
        <v>66</v>
      </c>
      <c r="AA4" s="621" t="s">
        <v>67</v>
      </c>
      <c r="AB4" s="621" t="s">
        <v>68</v>
      </c>
      <c r="AC4" s="621" t="s">
        <v>69</v>
      </c>
      <c r="AD4" s="621" t="s">
        <v>70</v>
      </c>
      <c r="AE4" s="621" t="s">
        <v>71</v>
      </c>
      <c r="AF4" s="621" t="s">
        <v>72</v>
      </c>
      <c r="AG4" s="621" t="s">
        <v>73</v>
      </c>
      <c r="AH4" s="621" t="s">
        <v>74</v>
      </c>
      <c r="AI4" s="621" t="s">
        <v>75</v>
      </c>
      <c r="AJ4" s="621" t="s">
        <v>76</v>
      </c>
      <c r="AK4" s="621" t="s">
        <v>78</v>
      </c>
      <c r="AL4" s="621" t="s">
        <v>4</v>
      </c>
      <c r="AM4" s="621" t="s">
        <v>81</v>
      </c>
      <c r="AN4" s="625" t="s">
        <v>82</v>
      </c>
      <c r="AO4" s="625" t="s">
        <v>90</v>
      </c>
      <c r="AP4" s="621" t="s">
        <v>77</v>
      </c>
      <c r="AQ4" s="622" t="s">
        <v>84</v>
      </c>
      <c r="AR4" s="621" t="s">
        <v>85</v>
      </c>
      <c r="AS4" s="621" t="s">
        <v>87</v>
      </c>
      <c r="AT4" s="625" t="s">
        <v>89</v>
      </c>
      <c r="AU4" s="621" t="s">
        <v>79</v>
      </c>
      <c r="AV4" s="621" t="s">
        <v>83</v>
      </c>
      <c r="AW4" s="621" t="s">
        <v>86</v>
      </c>
      <c r="AX4" s="621" t="s">
        <v>88</v>
      </c>
      <c r="AY4" s="621" t="s">
        <v>92</v>
      </c>
      <c r="AZ4" s="621" t="s">
        <v>80</v>
      </c>
      <c r="BA4" s="621"/>
      <c r="BB4" s="621" t="s">
        <v>93</v>
      </c>
      <c r="BC4" s="621" t="s">
        <v>94</v>
      </c>
      <c r="BD4" s="621" t="s">
        <v>95</v>
      </c>
      <c r="BE4" s="621" t="s">
        <v>96</v>
      </c>
      <c r="BF4" s="621" t="s">
        <v>97</v>
      </c>
      <c r="BG4" s="621" t="s">
        <v>98</v>
      </c>
      <c r="BH4" s="621" t="s">
        <v>99</v>
      </c>
      <c r="BI4" s="621" t="s">
        <v>100</v>
      </c>
      <c r="BJ4" s="623" t="s">
        <v>91</v>
      </c>
    </row>
    <row r="5" spans="1:62">
      <c r="A5" s="317">
        <v>2021</v>
      </c>
      <c r="B5" s="319">
        <f>Q5</f>
        <v>394.202</v>
      </c>
      <c r="C5" s="319">
        <f>SUM(Y5:AB5)</f>
        <v>195.7</v>
      </c>
      <c r="D5" s="319">
        <f>T5</f>
        <v>18.823</v>
      </c>
      <c r="E5" s="319">
        <f t="shared" ref="E5:E15" si="0">SUM(O5:S5)-B5</f>
        <v>26.636000000000024</v>
      </c>
      <c r="F5" s="319">
        <f t="shared" ref="F5:F15" si="1">SUM(T5:AF5)-C5-L5-D5</f>
        <v>47.722000000000016</v>
      </c>
      <c r="G5" s="319">
        <f>SUM(BB5:BI5)-BC5</f>
        <v>81.642999999999986</v>
      </c>
      <c r="H5" s="319">
        <f>SUM(AG5:AI5)</f>
        <v>7.798</v>
      </c>
      <c r="I5" s="319">
        <f>AJ5</f>
        <v>283.95749999999998</v>
      </c>
      <c r="J5" s="319">
        <f>AL5</f>
        <v>12.347</v>
      </c>
      <c r="K5" s="319">
        <f>SUM(AM5:AT5)</f>
        <v>29.628</v>
      </c>
      <c r="L5" s="344">
        <f>103/4</f>
        <v>25.75</v>
      </c>
      <c r="M5" s="319">
        <f t="shared" ref="M5:M16" si="2">SUM(AU5:BA5)</f>
        <v>31.939</v>
      </c>
      <c r="N5" s="319">
        <f>AK5</f>
        <v>3.4</v>
      </c>
      <c r="O5" s="6">
        <v>25.86</v>
      </c>
      <c r="P5" s="6">
        <v>0.55000000000000004</v>
      </c>
      <c r="Q5" s="7">
        <v>394.202</v>
      </c>
      <c r="R5" s="8">
        <v>0.14599999999999999</v>
      </c>
      <c r="S5" s="8">
        <v>0.08</v>
      </c>
      <c r="T5" s="8">
        <v>18.823</v>
      </c>
      <c r="U5" s="7">
        <v>19</v>
      </c>
      <c r="V5" s="8">
        <v>11.481999999999999</v>
      </c>
      <c r="W5" s="2">
        <v>1.5580000000000001</v>
      </c>
      <c r="X5" s="2">
        <v>0.74</v>
      </c>
      <c r="Y5" s="7">
        <v>0.2</v>
      </c>
      <c r="Z5" s="7">
        <v>43.1</v>
      </c>
      <c r="AA5" s="7">
        <v>33.9</v>
      </c>
      <c r="AB5" s="7">
        <v>118.5</v>
      </c>
      <c r="AC5" s="7">
        <v>28</v>
      </c>
      <c r="AD5" s="2">
        <v>-2.0379999999999998</v>
      </c>
      <c r="AE5" s="7">
        <v>14.31</v>
      </c>
      <c r="AF5" s="8">
        <v>0.42</v>
      </c>
      <c r="AG5" s="8">
        <v>7.7279999999999998</v>
      </c>
      <c r="AH5" s="7">
        <v>7.0000000000000007E-2</v>
      </c>
      <c r="AI5" s="7">
        <v>0</v>
      </c>
      <c r="AJ5" s="7">
        <v>283.95749999999998</v>
      </c>
      <c r="AK5" s="5">
        <v>3.4</v>
      </c>
      <c r="AL5" s="5">
        <v>12.347</v>
      </c>
      <c r="AM5" s="9">
        <v>0.28599999999999998</v>
      </c>
      <c r="AN5" s="626">
        <v>2</v>
      </c>
      <c r="AO5" s="627">
        <v>0.81</v>
      </c>
      <c r="AP5" s="5">
        <v>0.52100000000000002</v>
      </c>
      <c r="AQ5" s="10">
        <v>10</v>
      </c>
      <c r="AR5" s="5">
        <v>2.7</v>
      </c>
      <c r="AS5" s="5">
        <v>0.751</v>
      </c>
      <c r="AT5" s="627">
        <v>12.56</v>
      </c>
      <c r="AU5" s="7">
        <v>0</v>
      </c>
      <c r="AV5" s="5">
        <v>1.415</v>
      </c>
      <c r="AW5" s="5">
        <v>10.51</v>
      </c>
      <c r="AX5" s="5">
        <v>2.6</v>
      </c>
      <c r="AY5" s="7">
        <v>-0.33</v>
      </c>
      <c r="AZ5" s="5">
        <v>17.744</v>
      </c>
      <c r="BA5" s="7">
        <v>0</v>
      </c>
      <c r="BB5" s="5">
        <v>4.0999999999999996</v>
      </c>
      <c r="BC5" s="5">
        <v>7.25</v>
      </c>
      <c r="BD5" s="5">
        <v>48.4</v>
      </c>
      <c r="BE5" s="8">
        <v>0.83</v>
      </c>
      <c r="BF5" s="2">
        <v>4.5110000000000001</v>
      </c>
      <c r="BG5" s="7">
        <v>3.0739999999999998</v>
      </c>
      <c r="BH5" s="11">
        <v>-0.28399999999999997</v>
      </c>
      <c r="BI5" s="5">
        <v>21.012</v>
      </c>
      <c r="BJ5" s="616">
        <v>1.1599999999999999</v>
      </c>
    </row>
    <row r="6" spans="1:62">
      <c r="A6" s="317">
        <v>2022</v>
      </c>
      <c r="B6" s="319">
        <f t="shared" ref="B6:B15" si="3">Q6</f>
        <v>17.465</v>
      </c>
      <c r="C6" s="319">
        <f t="shared" ref="C6:C15" si="4">SUM(Y6:AB6)</f>
        <v>10.1</v>
      </c>
      <c r="D6" s="319">
        <f t="shared" ref="D6:D15" si="5">T6</f>
        <v>2.5950000000000002</v>
      </c>
      <c r="E6" s="319">
        <f t="shared" si="0"/>
        <v>98.978999999999999</v>
      </c>
      <c r="F6" s="319">
        <f t="shared" si="1"/>
        <v>52.756999999999998</v>
      </c>
      <c r="G6" s="319">
        <f t="shared" ref="G6:G16" si="6">SUM(BB6:BI6)-BC6</f>
        <v>110.24799999999999</v>
      </c>
      <c r="H6" s="319">
        <f t="shared" ref="H6:H15" si="7">SUM(AG6:AI6)</f>
        <v>7.9489999999999998</v>
      </c>
      <c r="I6" s="319">
        <f t="shared" ref="I6:I15" si="8">AJ6</f>
        <v>77.092500000000001</v>
      </c>
      <c r="J6" s="319">
        <f t="shared" ref="J6:J15" si="9">AL6</f>
        <v>46.79</v>
      </c>
      <c r="K6" s="319">
        <f t="shared" ref="K6:K16" si="10">SUM(AM6:AT6)</f>
        <v>35.671000000000006</v>
      </c>
      <c r="L6" s="344">
        <v>0</v>
      </c>
      <c r="M6" s="319">
        <f t="shared" si="2"/>
        <v>56.412999999999997</v>
      </c>
      <c r="N6" s="319">
        <f t="shared" ref="N6:N15" si="11">AK6</f>
        <v>5.0999999999999996</v>
      </c>
      <c r="O6" s="6">
        <v>79.260000000000005</v>
      </c>
      <c r="P6" s="6">
        <v>15.61</v>
      </c>
      <c r="Q6" s="7">
        <v>17.465</v>
      </c>
      <c r="R6" s="8">
        <v>0.317</v>
      </c>
      <c r="S6" s="8">
        <v>3.7919999999999998</v>
      </c>
      <c r="T6" s="7">
        <v>2.5950000000000002</v>
      </c>
      <c r="U6" s="5">
        <v>14.5</v>
      </c>
      <c r="V6" s="7">
        <v>25.070999999999998</v>
      </c>
      <c r="W6" s="2">
        <v>1.952</v>
      </c>
      <c r="X6" s="2">
        <v>0.61399999999999999</v>
      </c>
      <c r="Y6" s="5">
        <v>0</v>
      </c>
      <c r="Z6" s="5">
        <v>2.2999999999999998</v>
      </c>
      <c r="AA6" s="5">
        <v>1.6</v>
      </c>
      <c r="AB6" s="5">
        <v>6.2</v>
      </c>
      <c r="AC6" s="7">
        <v>0</v>
      </c>
      <c r="AD6" s="7">
        <v>1.31</v>
      </c>
      <c r="AE6" s="7">
        <v>8.61</v>
      </c>
      <c r="AF6" s="7">
        <v>0.7</v>
      </c>
      <c r="AG6" s="8">
        <v>7.782</v>
      </c>
      <c r="AH6" s="7">
        <v>0.12</v>
      </c>
      <c r="AI6" s="7">
        <v>4.7E-2</v>
      </c>
      <c r="AJ6" s="7">
        <v>77.092500000000001</v>
      </c>
      <c r="AK6" s="5">
        <v>5.0999999999999996</v>
      </c>
      <c r="AL6" s="5">
        <v>46.79</v>
      </c>
      <c r="AM6" s="11">
        <v>0.30499999999999999</v>
      </c>
      <c r="AN6" s="626">
        <v>4.3</v>
      </c>
      <c r="AO6" s="628">
        <v>1.1000000000000001</v>
      </c>
      <c r="AP6" s="5">
        <v>1.575</v>
      </c>
      <c r="AQ6" s="10">
        <v>10</v>
      </c>
      <c r="AR6" s="5">
        <v>4.5</v>
      </c>
      <c r="AS6" s="5">
        <v>1.9810000000000001</v>
      </c>
      <c r="AT6" s="627">
        <v>11.91</v>
      </c>
      <c r="AU6" s="7">
        <v>0</v>
      </c>
      <c r="AV6" s="5">
        <v>3.927</v>
      </c>
      <c r="AW6" s="5">
        <v>4.2880000000000003</v>
      </c>
      <c r="AX6" s="5">
        <v>3.7</v>
      </c>
      <c r="AY6" s="7">
        <v>-1.34</v>
      </c>
      <c r="AZ6" s="5">
        <v>45.838000000000001</v>
      </c>
      <c r="BA6" s="7">
        <v>0</v>
      </c>
      <c r="BB6" s="5">
        <v>11.3</v>
      </c>
      <c r="BC6" s="5">
        <v>0</v>
      </c>
      <c r="BD6" s="5">
        <v>1.1000000000000001</v>
      </c>
      <c r="BE6" s="8">
        <v>1.75</v>
      </c>
      <c r="BF6" s="2">
        <v>1.7330000000000001</v>
      </c>
      <c r="BG6" s="2">
        <v>7.1440000000000001</v>
      </c>
      <c r="BH6" s="12">
        <v>81.608999999999995</v>
      </c>
      <c r="BI6" s="5">
        <v>5.6120000000000001</v>
      </c>
      <c r="BJ6" s="616">
        <v>4.2</v>
      </c>
    </row>
    <row r="7" spans="1:62">
      <c r="A7" s="317">
        <v>2023</v>
      </c>
      <c r="B7" s="319">
        <f t="shared" si="3"/>
        <v>0.48599999999999999</v>
      </c>
      <c r="C7" s="319">
        <f t="shared" si="4"/>
        <v>0</v>
      </c>
      <c r="D7" s="319">
        <f t="shared" si="5"/>
        <v>0.93700000000000006</v>
      </c>
      <c r="E7" s="319">
        <f t="shared" si="0"/>
        <v>2.1159999999999997</v>
      </c>
      <c r="F7" s="319">
        <f t="shared" si="1"/>
        <v>12</v>
      </c>
      <c r="G7" s="319">
        <f t="shared" si="6"/>
        <v>12.726000000000001</v>
      </c>
      <c r="H7" s="319">
        <f t="shared" si="7"/>
        <v>4.7519999999999998</v>
      </c>
      <c r="I7" s="319">
        <f t="shared" si="8"/>
        <v>1</v>
      </c>
      <c r="J7" s="319">
        <f t="shared" si="9"/>
        <v>38.595999999999997</v>
      </c>
      <c r="K7" s="319">
        <f t="shared" si="10"/>
        <v>24.216000000000001</v>
      </c>
      <c r="L7" s="344">
        <v>0</v>
      </c>
      <c r="M7" s="319">
        <f t="shared" si="2"/>
        <v>15.652999999999999</v>
      </c>
      <c r="N7" s="319">
        <f t="shared" si="11"/>
        <v>0</v>
      </c>
      <c r="O7" s="6">
        <v>0.7</v>
      </c>
      <c r="P7" s="6">
        <v>0.96</v>
      </c>
      <c r="Q7" s="7">
        <v>0.48599999999999999</v>
      </c>
      <c r="R7" s="8">
        <v>0.45600000000000002</v>
      </c>
      <c r="S7" s="7">
        <v>0</v>
      </c>
      <c r="T7" s="13">
        <v>0.93700000000000006</v>
      </c>
      <c r="U7" s="5">
        <v>3</v>
      </c>
      <c r="V7" s="8">
        <v>7.891</v>
      </c>
      <c r="W7" s="2">
        <v>0.61699999999999999</v>
      </c>
      <c r="X7" s="2">
        <v>8.4000000000000005E-2</v>
      </c>
      <c r="Y7" s="5">
        <v>0</v>
      </c>
      <c r="Z7" s="5">
        <v>0</v>
      </c>
      <c r="AA7" s="5">
        <v>0</v>
      </c>
      <c r="AB7" s="5">
        <v>0</v>
      </c>
      <c r="AC7" s="7">
        <v>0</v>
      </c>
      <c r="AD7" s="7">
        <v>0.318</v>
      </c>
      <c r="AE7" s="8">
        <v>-0.11000000000000001</v>
      </c>
      <c r="AF7" s="7">
        <v>0.2</v>
      </c>
      <c r="AG7" s="8">
        <v>4.6749999999999998</v>
      </c>
      <c r="AH7" s="7">
        <v>0.06</v>
      </c>
      <c r="AI7" s="7">
        <v>1.7000000000000001E-2</v>
      </c>
      <c r="AJ7" s="7">
        <v>1</v>
      </c>
      <c r="AK7" s="5">
        <v>0</v>
      </c>
      <c r="AL7" s="5">
        <v>38.595999999999997</v>
      </c>
      <c r="AM7" s="7">
        <v>0.14899999999999999</v>
      </c>
      <c r="AN7" s="626">
        <v>1.2</v>
      </c>
      <c r="AO7" s="628">
        <v>0.53</v>
      </c>
      <c r="AP7" s="5">
        <v>0.38100000000000001</v>
      </c>
      <c r="AQ7" s="10">
        <v>8</v>
      </c>
      <c r="AR7" s="5">
        <v>4.5</v>
      </c>
      <c r="AS7" s="5">
        <v>0.76600000000000001</v>
      </c>
      <c r="AT7" s="627">
        <v>8.69</v>
      </c>
      <c r="AU7" s="7">
        <v>0</v>
      </c>
      <c r="AV7" s="5">
        <v>1.93</v>
      </c>
      <c r="AW7" s="5">
        <v>1.4379999999999999</v>
      </c>
      <c r="AX7" s="5">
        <v>2.6</v>
      </c>
      <c r="AY7" s="2">
        <v>-2.48</v>
      </c>
      <c r="AZ7" s="5">
        <v>12.164999999999999</v>
      </c>
      <c r="BA7" s="2">
        <v>0</v>
      </c>
      <c r="BB7" s="5">
        <v>8.4</v>
      </c>
      <c r="BC7" s="5">
        <v>0</v>
      </c>
      <c r="BD7" s="5">
        <v>0.3</v>
      </c>
      <c r="BE7" s="8">
        <v>1.8</v>
      </c>
      <c r="BF7" s="2">
        <v>0</v>
      </c>
      <c r="BG7" s="2">
        <v>0</v>
      </c>
      <c r="BH7" s="11">
        <v>1.3759999999999999</v>
      </c>
      <c r="BI7" s="5">
        <v>0.85</v>
      </c>
      <c r="BJ7" s="616">
        <v>2.7</v>
      </c>
    </row>
    <row r="8" spans="1:62">
      <c r="A8" s="317">
        <v>2024</v>
      </c>
      <c r="B8" s="319">
        <f t="shared" si="3"/>
        <v>0</v>
      </c>
      <c r="C8" s="319">
        <f t="shared" si="4"/>
        <v>0</v>
      </c>
      <c r="D8" s="319">
        <f t="shared" si="5"/>
        <v>0.16</v>
      </c>
      <c r="E8" s="319">
        <f t="shared" si="0"/>
        <v>2.1789999999999998</v>
      </c>
      <c r="F8" s="319">
        <f t="shared" si="1"/>
        <v>4.2219999999999995</v>
      </c>
      <c r="G8" s="319">
        <f t="shared" si="6"/>
        <v>1.365</v>
      </c>
      <c r="H8" s="319">
        <f t="shared" si="7"/>
        <v>4.637999999999999</v>
      </c>
      <c r="I8" s="319">
        <f t="shared" si="8"/>
        <v>0</v>
      </c>
      <c r="J8" s="319">
        <f t="shared" si="9"/>
        <v>31.911000000000001</v>
      </c>
      <c r="K8" s="319">
        <f t="shared" si="10"/>
        <v>9.6430000000000007</v>
      </c>
      <c r="L8" s="344">
        <v>0</v>
      </c>
      <c r="M8" s="319">
        <f t="shared" si="2"/>
        <v>3.9320000000000004</v>
      </c>
      <c r="N8" s="319">
        <f t="shared" si="11"/>
        <v>0</v>
      </c>
      <c r="O8" s="6">
        <v>0.7</v>
      </c>
      <c r="P8" s="6">
        <v>0.96</v>
      </c>
      <c r="Q8" s="5">
        <v>0</v>
      </c>
      <c r="R8" s="8">
        <v>0.51900000000000002</v>
      </c>
      <c r="S8" s="7">
        <v>0</v>
      </c>
      <c r="T8" s="14">
        <v>0.16</v>
      </c>
      <c r="U8" s="5">
        <v>2.8</v>
      </c>
      <c r="V8" s="7">
        <v>0.504</v>
      </c>
      <c r="W8" s="2">
        <v>0.47199999999999998</v>
      </c>
      <c r="X8" s="2">
        <v>2E-3</v>
      </c>
      <c r="Y8" s="5">
        <v>0</v>
      </c>
      <c r="Z8" s="5">
        <v>0</v>
      </c>
      <c r="AA8" s="5">
        <v>0</v>
      </c>
      <c r="AB8" s="5">
        <v>0</v>
      </c>
      <c r="AC8" s="7">
        <v>0</v>
      </c>
      <c r="AD8" s="7">
        <v>0.34399999999999997</v>
      </c>
      <c r="AE8" s="8">
        <v>0</v>
      </c>
      <c r="AF8" s="8">
        <v>0.1</v>
      </c>
      <c r="AG8" s="8">
        <v>4.5739999999999998</v>
      </c>
      <c r="AH8" s="7">
        <v>0.06</v>
      </c>
      <c r="AI8" s="7">
        <v>4.0000000000000001E-3</v>
      </c>
      <c r="AJ8" s="7">
        <v>0</v>
      </c>
      <c r="AK8" s="5">
        <v>0</v>
      </c>
      <c r="AL8" s="5">
        <v>31.911000000000001</v>
      </c>
      <c r="AM8" s="7">
        <v>4.1000000000000002E-2</v>
      </c>
      <c r="AN8" s="626">
        <v>0.4</v>
      </c>
      <c r="AO8" s="628">
        <v>0.41</v>
      </c>
      <c r="AP8" s="5">
        <v>0.13100000000000001</v>
      </c>
      <c r="AQ8" s="10">
        <v>0</v>
      </c>
      <c r="AR8" s="5">
        <v>3</v>
      </c>
      <c r="AS8" s="5">
        <v>0.30099999999999999</v>
      </c>
      <c r="AT8" s="628">
        <v>5.36</v>
      </c>
      <c r="AU8" s="7">
        <v>0</v>
      </c>
      <c r="AV8" s="5">
        <v>0.79600000000000004</v>
      </c>
      <c r="AW8" s="5">
        <v>0.27500000000000002</v>
      </c>
      <c r="AX8" s="5">
        <v>1</v>
      </c>
      <c r="AY8" s="2">
        <v>-2.6</v>
      </c>
      <c r="AZ8" s="5">
        <v>4.4610000000000003</v>
      </c>
      <c r="BA8" s="2">
        <v>0</v>
      </c>
      <c r="BB8" s="5">
        <v>0.2</v>
      </c>
      <c r="BC8" s="5">
        <v>0</v>
      </c>
      <c r="BD8" s="5">
        <v>0</v>
      </c>
      <c r="BE8" s="8">
        <v>1.95</v>
      </c>
      <c r="BF8" s="2">
        <v>0</v>
      </c>
      <c r="BG8" s="2">
        <v>0</v>
      </c>
      <c r="BH8" s="11">
        <v>-0.875</v>
      </c>
      <c r="BI8" s="5">
        <v>0.09</v>
      </c>
      <c r="BJ8" s="617">
        <v>0.87</v>
      </c>
    </row>
    <row r="9" spans="1:62">
      <c r="A9" s="317">
        <v>2025</v>
      </c>
      <c r="B9" s="319">
        <f t="shared" si="3"/>
        <v>0</v>
      </c>
      <c r="C9" s="319">
        <f t="shared" si="4"/>
        <v>0</v>
      </c>
      <c r="D9" s="319">
        <f t="shared" si="5"/>
        <v>3.3000000000000002E-2</v>
      </c>
      <c r="E9" s="319">
        <f t="shared" si="0"/>
        <v>2.33</v>
      </c>
      <c r="F9" s="319">
        <f t="shared" si="1"/>
        <v>2.3719999999999999</v>
      </c>
      <c r="G9" s="319">
        <f t="shared" si="6"/>
        <v>-0.90100000000000025</v>
      </c>
      <c r="H9" s="319">
        <f t="shared" si="7"/>
        <v>1.8800000000000001</v>
      </c>
      <c r="I9" s="319">
        <f t="shared" si="8"/>
        <v>0</v>
      </c>
      <c r="J9" s="319">
        <f t="shared" si="9"/>
        <v>23.099</v>
      </c>
      <c r="K9" s="319">
        <f t="shared" si="10"/>
        <v>4.5789999999999997</v>
      </c>
      <c r="L9" s="344">
        <v>0</v>
      </c>
      <c r="M9" s="319">
        <f t="shared" si="2"/>
        <v>-0.74299999999999988</v>
      </c>
      <c r="N9" s="319">
        <f t="shared" si="11"/>
        <v>0</v>
      </c>
      <c r="O9" s="6">
        <v>0.7</v>
      </c>
      <c r="P9" s="6">
        <v>1.06</v>
      </c>
      <c r="Q9" s="5">
        <v>0</v>
      </c>
      <c r="R9" s="8">
        <v>0.56999999999999995</v>
      </c>
      <c r="S9" s="7">
        <v>0</v>
      </c>
      <c r="T9" s="15">
        <v>3.3000000000000002E-2</v>
      </c>
      <c r="U9" s="5">
        <v>2</v>
      </c>
      <c r="V9" s="15">
        <v>0</v>
      </c>
      <c r="W9" s="2">
        <v>0.21299999999999999</v>
      </c>
      <c r="X9" s="2">
        <v>2E-3</v>
      </c>
      <c r="Y9" s="5">
        <v>0</v>
      </c>
      <c r="Z9" s="5">
        <v>0</v>
      </c>
      <c r="AA9" s="5">
        <v>0</v>
      </c>
      <c r="AB9" s="5">
        <v>0</v>
      </c>
      <c r="AC9" s="7">
        <v>0</v>
      </c>
      <c r="AD9" s="7">
        <v>0.157</v>
      </c>
      <c r="AE9" s="8">
        <v>0</v>
      </c>
      <c r="AF9" s="8">
        <v>0</v>
      </c>
      <c r="AG9" s="7">
        <v>1.81</v>
      </c>
      <c r="AH9" s="7">
        <v>7.0000000000000007E-2</v>
      </c>
      <c r="AI9" s="7">
        <v>0</v>
      </c>
      <c r="AJ9" s="5">
        <v>0</v>
      </c>
      <c r="AK9" s="5">
        <v>0</v>
      </c>
      <c r="AL9" s="5">
        <v>23.099</v>
      </c>
      <c r="AM9" s="7">
        <v>1.2999999999999999E-2</v>
      </c>
      <c r="AN9" s="626">
        <v>0.3</v>
      </c>
      <c r="AO9" s="629">
        <v>0.15</v>
      </c>
      <c r="AP9" s="5">
        <v>0.112</v>
      </c>
      <c r="AQ9" s="10">
        <v>0</v>
      </c>
      <c r="AR9" s="5">
        <v>0.2</v>
      </c>
      <c r="AS9" s="5">
        <v>7.3999999999999996E-2</v>
      </c>
      <c r="AT9" s="628">
        <v>3.73</v>
      </c>
      <c r="AU9" s="7">
        <v>0</v>
      </c>
      <c r="AV9" s="5">
        <v>5.3999999999999999E-2</v>
      </c>
      <c r="AW9" s="5">
        <v>0.13100000000000001</v>
      </c>
      <c r="AX9" s="5">
        <v>0</v>
      </c>
      <c r="AY9" s="2">
        <v>-2.71</v>
      </c>
      <c r="AZ9" s="5">
        <v>1.782</v>
      </c>
      <c r="BA9" s="2">
        <v>0</v>
      </c>
      <c r="BB9" s="5">
        <v>0</v>
      </c>
      <c r="BC9" s="5">
        <v>0</v>
      </c>
      <c r="BD9" s="5">
        <v>0</v>
      </c>
      <c r="BE9" s="8">
        <v>1.43</v>
      </c>
      <c r="BF9" s="2">
        <v>0</v>
      </c>
      <c r="BG9" s="2">
        <v>0</v>
      </c>
      <c r="BH9" s="11">
        <v>-2.3410000000000002</v>
      </c>
      <c r="BI9" s="5">
        <v>0.01</v>
      </c>
      <c r="BJ9" s="617">
        <v>0.33</v>
      </c>
    </row>
    <row r="10" spans="1:62">
      <c r="A10" s="317">
        <v>2026</v>
      </c>
      <c r="B10" s="319">
        <f t="shared" si="3"/>
        <v>0</v>
      </c>
      <c r="C10" s="319">
        <f t="shared" si="4"/>
        <v>0</v>
      </c>
      <c r="D10" s="319">
        <f t="shared" si="5"/>
        <v>3.2000000000000001E-2</v>
      </c>
      <c r="E10" s="319">
        <f t="shared" si="0"/>
        <v>2.371</v>
      </c>
      <c r="F10" s="319">
        <f t="shared" si="1"/>
        <v>0.49</v>
      </c>
      <c r="G10" s="319">
        <f t="shared" si="6"/>
        <v>-2.1500000000000004</v>
      </c>
      <c r="H10" s="319">
        <f t="shared" si="7"/>
        <v>1.446</v>
      </c>
      <c r="I10" s="319">
        <f t="shared" si="8"/>
        <v>0</v>
      </c>
      <c r="J10" s="319">
        <f t="shared" si="9"/>
        <v>10.766999999999999</v>
      </c>
      <c r="K10" s="319">
        <f t="shared" si="10"/>
        <v>2.9130000000000003</v>
      </c>
      <c r="L10" s="344"/>
      <c r="M10" s="319">
        <f t="shared" si="2"/>
        <v>-21.606000000000002</v>
      </c>
      <c r="N10" s="319">
        <f t="shared" si="11"/>
        <v>0</v>
      </c>
      <c r="O10" s="6">
        <v>0.7</v>
      </c>
      <c r="P10" s="6">
        <v>1.07</v>
      </c>
      <c r="Q10" s="5">
        <v>0</v>
      </c>
      <c r="R10" s="8">
        <v>0.60099999999999998</v>
      </c>
      <c r="S10" s="7">
        <v>0</v>
      </c>
      <c r="T10" s="11">
        <v>3.2000000000000001E-2</v>
      </c>
      <c r="U10" s="5">
        <v>0.3</v>
      </c>
      <c r="V10" s="8">
        <v>0</v>
      </c>
      <c r="W10" s="2">
        <v>0.188</v>
      </c>
      <c r="X10" s="2">
        <v>2E-3</v>
      </c>
      <c r="Y10" s="5">
        <v>0</v>
      </c>
      <c r="Z10" s="5">
        <v>0</v>
      </c>
      <c r="AA10" s="5">
        <v>0</v>
      </c>
      <c r="AB10" s="5">
        <v>0</v>
      </c>
      <c r="AC10" s="7">
        <v>0</v>
      </c>
      <c r="AD10" s="7">
        <v>0</v>
      </c>
      <c r="AE10" s="7">
        <v>0</v>
      </c>
      <c r="AF10" s="8">
        <v>0</v>
      </c>
      <c r="AG10" s="7">
        <v>1.3759999999999999</v>
      </c>
      <c r="AH10" s="7">
        <v>7.0000000000000007E-2</v>
      </c>
      <c r="AI10" s="7">
        <v>0</v>
      </c>
      <c r="AJ10" s="16">
        <v>0</v>
      </c>
      <c r="AK10" s="5">
        <v>0</v>
      </c>
      <c r="AL10" s="5">
        <v>10.766999999999999</v>
      </c>
      <c r="AM10" s="7">
        <v>3.0000000000000001E-3</v>
      </c>
      <c r="AN10" s="626">
        <v>0.2</v>
      </c>
      <c r="AO10" s="629">
        <v>0.1</v>
      </c>
      <c r="AP10" s="5">
        <v>0.05</v>
      </c>
      <c r="AQ10" s="10">
        <v>0</v>
      </c>
      <c r="AR10" s="5">
        <v>0</v>
      </c>
      <c r="AS10" s="5">
        <v>0</v>
      </c>
      <c r="AT10" s="628">
        <v>2.56</v>
      </c>
      <c r="AU10" s="7">
        <v>0</v>
      </c>
      <c r="AV10" s="5">
        <v>3.7999999999999999E-2</v>
      </c>
      <c r="AW10" s="5">
        <v>2.5999999999999999E-2</v>
      </c>
      <c r="AX10" s="5">
        <v>0</v>
      </c>
      <c r="AY10" s="2">
        <v>-2.6700000000000004</v>
      </c>
      <c r="AZ10" s="5">
        <v>0</v>
      </c>
      <c r="BA10" s="2">
        <v>-19</v>
      </c>
      <c r="BB10" s="5">
        <v>0</v>
      </c>
      <c r="BC10" s="5">
        <v>0</v>
      </c>
      <c r="BD10" s="5">
        <v>0</v>
      </c>
      <c r="BE10" s="2">
        <v>0.88</v>
      </c>
      <c r="BF10" s="2">
        <v>0</v>
      </c>
      <c r="BG10" s="2">
        <v>0</v>
      </c>
      <c r="BH10" s="7">
        <v>-2.8200000000000003</v>
      </c>
      <c r="BI10" s="5">
        <v>-0.21</v>
      </c>
      <c r="BJ10" s="617">
        <v>0.17</v>
      </c>
    </row>
    <row r="11" spans="1:62">
      <c r="A11" s="317">
        <v>2027</v>
      </c>
      <c r="B11" s="319">
        <f t="shared" si="3"/>
        <v>0</v>
      </c>
      <c r="C11" s="319">
        <f t="shared" si="4"/>
        <v>0</v>
      </c>
      <c r="D11" s="319">
        <f t="shared" si="5"/>
        <v>3.2000000000000001E-2</v>
      </c>
      <c r="E11" s="319">
        <f t="shared" si="0"/>
        <v>2.0129999999999999</v>
      </c>
      <c r="F11" s="319">
        <f t="shared" si="1"/>
        <v>0</v>
      </c>
      <c r="G11" s="319">
        <f t="shared" si="6"/>
        <v>-4.8169999999999993</v>
      </c>
      <c r="H11" s="319">
        <f t="shared" si="7"/>
        <v>0.65699999999999992</v>
      </c>
      <c r="I11" s="319">
        <f t="shared" si="8"/>
        <v>0</v>
      </c>
      <c r="J11" s="319">
        <f t="shared" si="9"/>
        <v>4.0789999999999997</v>
      </c>
      <c r="K11" s="319">
        <f t="shared" si="10"/>
        <v>2.46</v>
      </c>
      <c r="L11" s="344"/>
      <c r="M11" s="319">
        <f t="shared" si="2"/>
        <v>-14.713000000000001</v>
      </c>
      <c r="N11" s="319">
        <f t="shared" si="11"/>
        <v>0</v>
      </c>
      <c r="O11" s="6">
        <v>0.3</v>
      </c>
      <c r="P11" s="6">
        <v>1.08</v>
      </c>
      <c r="Q11" s="5">
        <v>0</v>
      </c>
      <c r="R11" s="8">
        <v>0.63300000000000001</v>
      </c>
      <c r="S11" s="14">
        <v>0</v>
      </c>
      <c r="T11" s="5">
        <v>3.2000000000000001E-2</v>
      </c>
      <c r="U11" s="5">
        <v>0</v>
      </c>
      <c r="V11" s="7">
        <v>0</v>
      </c>
      <c r="W11" s="2">
        <v>0</v>
      </c>
      <c r="X11" s="2">
        <v>0</v>
      </c>
      <c r="Y11" s="5">
        <v>0</v>
      </c>
      <c r="Z11" s="5">
        <v>0</v>
      </c>
      <c r="AA11" s="5">
        <v>0</v>
      </c>
      <c r="AB11" s="5">
        <v>0</v>
      </c>
      <c r="AC11" s="7">
        <v>0</v>
      </c>
      <c r="AD11" s="8">
        <v>0</v>
      </c>
      <c r="AE11" s="7">
        <v>0</v>
      </c>
      <c r="AF11" s="8">
        <v>0</v>
      </c>
      <c r="AG11" s="7">
        <v>0.57699999999999996</v>
      </c>
      <c r="AH11" s="7">
        <v>0.08</v>
      </c>
      <c r="AI11" s="7">
        <v>0</v>
      </c>
      <c r="AJ11" s="7">
        <v>0</v>
      </c>
      <c r="AK11" s="5">
        <v>0</v>
      </c>
      <c r="AL11" s="5">
        <v>4.0789999999999997</v>
      </c>
      <c r="AM11" s="5">
        <v>0</v>
      </c>
      <c r="AN11" s="626">
        <v>0.1</v>
      </c>
      <c r="AO11" s="629">
        <v>0.1</v>
      </c>
      <c r="AP11" s="5">
        <v>0.03</v>
      </c>
      <c r="AQ11" s="10">
        <v>0</v>
      </c>
      <c r="AR11" s="5">
        <v>0</v>
      </c>
      <c r="AS11" s="5">
        <v>0</v>
      </c>
      <c r="AT11" s="629">
        <v>2.23</v>
      </c>
      <c r="AU11" s="7">
        <v>0</v>
      </c>
      <c r="AV11" s="5">
        <v>1.7000000000000001E-2</v>
      </c>
      <c r="AW11" s="5">
        <v>0</v>
      </c>
      <c r="AX11" s="5">
        <v>0</v>
      </c>
      <c r="AY11" s="2">
        <v>-2.73</v>
      </c>
      <c r="AZ11" s="5">
        <v>0</v>
      </c>
      <c r="BA11" s="2">
        <v>-12</v>
      </c>
      <c r="BB11" s="5">
        <v>0</v>
      </c>
      <c r="BC11" s="5">
        <v>0</v>
      </c>
      <c r="BD11" s="5">
        <v>0</v>
      </c>
      <c r="BE11" s="2">
        <v>0.28000000000000003</v>
      </c>
      <c r="BF11" s="2">
        <v>0</v>
      </c>
      <c r="BG11" s="2">
        <v>0</v>
      </c>
      <c r="BH11" s="15">
        <v>-5.0069999999999997</v>
      </c>
      <c r="BI11" s="5">
        <v>-0.09</v>
      </c>
      <c r="BJ11" s="618">
        <v>0.06</v>
      </c>
    </row>
    <row r="12" spans="1:62">
      <c r="A12" s="317">
        <v>2028</v>
      </c>
      <c r="B12" s="319">
        <f t="shared" si="3"/>
        <v>0</v>
      </c>
      <c r="C12" s="319">
        <f t="shared" si="4"/>
        <v>0</v>
      </c>
      <c r="D12" s="319">
        <f t="shared" si="5"/>
        <v>3.3000000000000002E-2</v>
      </c>
      <c r="E12" s="319">
        <f t="shared" si="0"/>
        <v>2.0129999999999999</v>
      </c>
      <c r="F12" s="319">
        <f t="shared" si="1"/>
        <v>0</v>
      </c>
      <c r="G12" s="319">
        <f t="shared" si="6"/>
        <v>-5.0590000000000002</v>
      </c>
      <c r="H12" s="319">
        <f t="shared" si="7"/>
        <v>-1.071</v>
      </c>
      <c r="I12" s="319">
        <f t="shared" si="8"/>
        <v>0</v>
      </c>
      <c r="J12" s="319">
        <f t="shared" si="9"/>
        <v>1.635</v>
      </c>
      <c r="K12" s="319">
        <f t="shared" si="10"/>
        <v>1.81</v>
      </c>
      <c r="L12" s="344"/>
      <c r="M12" s="319">
        <f t="shared" si="2"/>
        <v>-2.7690000000000001</v>
      </c>
      <c r="N12" s="319">
        <f t="shared" si="11"/>
        <v>0</v>
      </c>
      <c r="O12" s="6">
        <v>0.3</v>
      </c>
      <c r="P12" s="6">
        <v>1.08</v>
      </c>
      <c r="Q12" s="5">
        <v>0</v>
      </c>
      <c r="R12" s="8">
        <v>0.63300000000000001</v>
      </c>
      <c r="S12" s="14">
        <v>0</v>
      </c>
      <c r="T12" s="17">
        <v>3.3000000000000002E-2</v>
      </c>
      <c r="U12" s="5">
        <v>0</v>
      </c>
      <c r="V12" s="7">
        <v>0</v>
      </c>
      <c r="W12" s="2">
        <v>0</v>
      </c>
      <c r="X12" s="2">
        <v>0</v>
      </c>
      <c r="Y12" s="5">
        <v>0</v>
      </c>
      <c r="Z12" s="5">
        <v>0</v>
      </c>
      <c r="AA12" s="5">
        <v>0</v>
      </c>
      <c r="AB12" s="5">
        <v>0</v>
      </c>
      <c r="AC12" s="7">
        <v>0</v>
      </c>
      <c r="AD12" s="7">
        <v>0</v>
      </c>
      <c r="AE12" s="7">
        <v>0</v>
      </c>
      <c r="AF12" s="7">
        <v>0</v>
      </c>
      <c r="AG12" s="7">
        <v>-1.151</v>
      </c>
      <c r="AH12" s="7">
        <v>0.08</v>
      </c>
      <c r="AI12" s="7">
        <v>0</v>
      </c>
      <c r="AJ12" s="7">
        <v>0</v>
      </c>
      <c r="AK12" s="5">
        <v>0</v>
      </c>
      <c r="AL12" s="5">
        <v>1.635</v>
      </c>
      <c r="AM12" s="5">
        <v>0</v>
      </c>
      <c r="AN12" s="626">
        <v>0.1</v>
      </c>
      <c r="AO12" s="628">
        <v>0</v>
      </c>
      <c r="AP12" s="5">
        <v>0</v>
      </c>
      <c r="AQ12" s="10">
        <v>0</v>
      </c>
      <c r="AR12" s="5">
        <v>0</v>
      </c>
      <c r="AS12" s="5">
        <v>0</v>
      </c>
      <c r="AT12" s="629">
        <v>1.71</v>
      </c>
      <c r="AU12" s="7">
        <v>0</v>
      </c>
      <c r="AV12" s="5">
        <v>1E-3</v>
      </c>
      <c r="AW12" s="5">
        <v>0</v>
      </c>
      <c r="AX12" s="5">
        <v>0</v>
      </c>
      <c r="AY12" s="2">
        <v>-2.77</v>
      </c>
      <c r="AZ12" s="5">
        <v>0</v>
      </c>
      <c r="BA12" s="2">
        <v>0</v>
      </c>
      <c r="BB12" s="5">
        <v>0</v>
      </c>
      <c r="BC12" s="5">
        <v>0</v>
      </c>
      <c r="BD12" s="5">
        <v>0</v>
      </c>
      <c r="BE12" s="2">
        <v>0.1</v>
      </c>
      <c r="BF12" s="2">
        <v>0</v>
      </c>
      <c r="BG12" s="2">
        <v>0</v>
      </c>
      <c r="BH12" s="15">
        <v>-5.069</v>
      </c>
      <c r="BI12" s="5">
        <v>-0.09</v>
      </c>
      <c r="BJ12" s="618">
        <v>0.03</v>
      </c>
    </row>
    <row r="13" spans="1:62">
      <c r="A13" s="317">
        <v>2029</v>
      </c>
      <c r="B13" s="319">
        <f t="shared" si="3"/>
        <v>0</v>
      </c>
      <c r="C13" s="319">
        <f t="shared" si="4"/>
        <v>0</v>
      </c>
      <c r="D13" s="319">
        <f t="shared" si="5"/>
        <v>3.3000000000000002E-2</v>
      </c>
      <c r="E13" s="319">
        <f t="shared" si="0"/>
        <v>2.0129999999999999</v>
      </c>
      <c r="F13" s="319">
        <f t="shared" si="1"/>
        <v>0</v>
      </c>
      <c r="G13" s="319">
        <f t="shared" si="6"/>
        <v>-5.218</v>
      </c>
      <c r="H13" s="319">
        <f t="shared" si="7"/>
        <v>-1.964</v>
      </c>
      <c r="I13" s="319">
        <f t="shared" si="8"/>
        <v>0</v>
      </c>
      <c r="J13" s="319">
        <f t="shared" si="9"/>
        <v>-1.7000000000000001E-2</v>
      </c>
      <c r="K13" s="319">
        <f t="shared" si="10"/>
        <v>1</v>
      </c>
      <c r="L13" s="344"/>
      <c r="M13" s="319">
        <f t="shared" si="2"/>
        <v>-2.75</v>
      </c>
      <c r="N13" s="319">
        <f t="shared" si="11"/>
        <v>0</v>
      </c>
      <c r="O13" s="6">
        <v>0.3</v>
      </c>
      <c r="P13" s="6">
        <v>1.08</v>
      </c>
      <c r="Q13" s="5">
        <v>0</v>
      </c>
      <c r="R13" s="8">
        <v>0.63300000000000001</v>
      </c>
      <c r="S13" s="14">
        <v>0</v>
      </c>
      <c r="T13" s="7">
        <v>3.3000000000000002E-2</v>
      </c>
      <c r="U13" s="5">
        <v>0</v>
      </c>
      <c r="V13" s="7">
        <v>0</v>
      </c>
      <c r="W13" s="2">
        <v>0</v>
      </c>
      <c r="X13" s="2">
        <v>0</v>
      </c>
      <c r="Y13" s="5">
        <v>0</v>
      </c>
      <c r="Z13" s="5">
        <v>0</v>
      </c>
      <c r="AA13" s="5">
        <v>0</v>
      </c>
      <c r="AB13" s="5">
        <v>0</v>
      </c>
      <c r="AC13" s="7">
        <v>0</v>
      </c>
      <c r="AD13" s="7">
        <v>0</v>
      </c>
      <c r="AE13" s="7">
        <v>0</v>
      </c>
      <c r="AF13" s="7">
        <v>0</v>
      </c>
      <c r="AG13" s="5">
        <v>-2.044</v>
      </c>
      <c r="AH13" s="7">
        <v>0.08</v>
      </c>
      <c r="AI13" s="7">
        <v>0</v>
      </c>
      <c r="AJ13" s="18">
        <v>0</v>
      </c>
      <c r="AK13" s="5">
        <v>0</v>
      </c>
      <c r="AL13" s="5">
        <v>-1.7000000000000001E-2</v>
      </c>
      <c r="AM13" s="5">
        <v>0</v>
      </c>
      <c r="AN13" s="626">
        <v>0</v>
      </c>
      <c r="AO13" s="628">
        <v>0</v>
      </c>
      <c r="AP13" s="5">
        <v>0</v>
      </c>
      <c r="AQ13" s="10">
        <v>0</v>
      </c>
      <c r="AR13" s="5">
        <v>0</v>
      </c>
      <c r="AS13" s="5">
        <v>0</v>
      </c>
      <c r="AT13" s="629">
        <v>1</v>
      </c>
      <c r="AU13" s="7">
        <v>0</v>
      </c>
      <c r="AV13" s="5">
        <v>0</v>
      </c>
      <c r="AW13" s="5">
        <v>0</v>
      </c>
      <c r="AX13" s="5">
        <v>0</v>
      </c>
      <c r="AY13" s="2">
        <v>-2.75</v>
      </c>
      <c r="AZ13" s="5">
        <v>0</v>
      </c>
      <c r="BA13" s="2">
        <v>0</v>
      </c>
      <c r="BB13" s="5">
        <v>0</v>
      </c>
      <c r="BC13" s="5">
        <v>0</v>
      </c>
      <c r="BD13" s="5">
        <v>0</v>
      </c>
      <c r="BE13" s="2">
        <v>0</v>
      </c>
      <c r="BF13" s="19">
        <v>0</v>
      </c>
      <c r="BG13" s="2">
        <v>0</v>
      </c>
      <c r="BH13" s="15">
        <v>-5.1180000000000003</v>
      </c>
      <c r="BI13" s="5">
        <v>-0.1</v>
      </c>
      <c r="BJ13" s="618">
        <v>0.01</v>
      </c>
    </row>
    <row r="14" spans="1:62">
      <c r="A14" s="317">
        <v>2030</v>
      </c>
      <c r="B14" s="319">
        <f t="shared" si="3"/>
        <v>0</v>
      </c>
      <c r="C14" s="319">
        <f t="shared" si="4"/>
        <v>0</v>
      </c>
      <c r="D14" s="319">
        <f t="shared" si="5"/>
        <v>3.3000000000000002E-2</v>
      </c>
      <c r="E14" s="319">
        <f t="shared" si="0"/>
        <v>2.1130000000000004</v>
      </c>
      <c r="F14" s="319">
        <f t="shared" si="1"/>
        <v>0</v>
      </c>
      <c r="G14" s="319">
        <f t="shared" si="6"/>
        <v>-5.9420000000000002</v>
      </c>
      <c r="H14" s="319">
        <f t="shared" si="7"/>
        <v>-2.0210000000000004</v>
      </c>
      <c r="I14" s="319">
        <f t="shared" si="8"/>
        <v>0</v>
      </c>
      <c r="J14" s="319">
        <f t="shared" si="9"/>
        <v>-1.9E-2</v>
      </c>
      <c r="K14" s="319">
        <f t="shared" si="10"/>
        <v>0.8</v>
      </c>
      <c r="L14" s="344"/>
      <c r="M14" s="319">
        <f t="shared" si="2"/>
        <v>-8.1189999999999998</v>
      </c>
      <c r="N14" s="319">
        <f t="shared" si="11"/>
        <v>0</v>
      </c>
      <c r="O14" s="6">
        <v>0.3</v>
      </c>
      <c r="P14" s="6">
        <v>1.1800000000000002</v>
      </c>
      <c r="Q14" s="5">
        <v>0</v>
      </c>
      <c r="R14" s="8">
        <v>0.63300000000000001</v>
      </c>
      <c r="S14" s="14">
        <v>0</v>
      </c>
      <c r="T14" s="7">
        <v>3.3000000000000002E-2</v>
      </c>
      <c r="U14" s="5">
        <v>0</v>
      </c>
      <c r="V14" s="7">
        <v>0</v>
      </c>
      <c r="W14" s="2">
        <v>0</v>
      </c>
      <c r="X14" s="2">
        <v>0</v>
      </c>
      <c r="Y14" s="5">
        <v>0</v>
      </c>
      <c r="Z14" s="5">
        <v>0</v>
      </c>
      <c r="AA14" s="5">
        <v>0</v>
      </c>
      <c r="AB14" s="5">
        <v>0</v>
      </c>
      <c r="AC14" s="7">
        <v>0</v>
      </c>
      <c r="AD14" s="8">
        <v>0</v>
      </c>
      <c r="AE14" s="5">
        <v>0</v>
      </c>
      <c r="AF14" s="7">
        <v>0</v>
      </c>
      <c r="AG14" s="7">
        <v>-2.1110000000000002</v>
      </c>
      <c r="AH14" s="7">
        <v>0.09</v>
      </c>
      <c r="AI14" s="7">
        <v>0</v>
      </c>
      <c r="AJ14" s="20">
        <v>0</v>
      </c>
      <c r="AK14" s="5">
        <v>0</v>
      </c>
      <c r="AL14" s="5">
        <v>-1.9E-2</v>
      </c>
      <c r="AM14" s="5">
        <v>0</v>
      </c>
      <c r="AN14" s="626">
        <v>0</v>
      </c>
      <c r="AO14" s="628">
        <v>0</v>
      </c>
      <c r="AP14" s="5">
        <v>0</v>
      </c>
      <c r="AQ14" s="10">
        <v>0</v>
      </c>
      <c r="AR14" s="5">
        <v>0</v>
      </c>
      <c r="AS14" s="5">
        <v>0</v>
      </c>
      <c r="AT14" s="628">
        <v>0.8</v>
      </c>
      <c r="AU14" s="7">
        <v>-5.4089999999999998</v>
      </c>
      <c r="AV14" s="5">
        <v>0</v>
      </c>
      <c r="AW14" s="5">
        <v>0</v>
      </c>
      <c r="AX14" s="5">
        <v>0</v>
      </c>
      <c r="AY14" s="2">
        <v>-2.71</v>
      </c>
      <c r="AZ14" s="5">
        <v>0</v>
      </c>
      <c r="BA14" s="2">
        <v>0</v>
      </c>
      <c r="BB14" s="5">
        <v>0</v>
      </c>
      <c r="BC14" s="5">
        <v>0</v>
      </c>
      <c r="BD14" s="5">
        <v>0</v>
      </c>
      <c r="BE14" s="5">
        <v>0</v>
      </c>
      <c r="BF14" s="2">
        <v>0</v>
      </c>
      <c r="BG14" s="2">
        <v>0</v>
      </c>
      <c r="BH14" s="7">
        <v>-5.8319999999999999</v>
      </c>
      <c r="BI14" s="5">
        <v>-0.11</v>
      </c>
      <c r="BJ14" s="617">
        <v>0.01</v>
      </c>
    </row>
    <row r="15" spans="1:62" ht="17" customHeight="1">
      <c r="A15" s="317">
        <v>2031</v>
      </c>
      <c r="B15" s="319">
        <f t="shared" si="3"/>
        <v>0</v>
      </c>
      <c r="C15" s="319">
        <f t="shared" si="4"/>
        <v>0</v>
      </c>
      <c r="D15" s="319">
        <f t="shared" si="5"/>
        <v>0</v>
      </c>
      <c r="E15" s="319">
        <f t="shared" si="0"/>
        <v>2.1230000000000002</v>
      </c>
      <c r="F15" s="319">
        <f t="shared" si="1"/>
        <v>0</v>
      </c>
      <c r="G15" s="319">
        <f t="shared" si="6"/>
        <v>-7.7250000000000005</v>
      </c>
      <c r="H15" s="319">
        <f t="shared" si="7"/>
        <v>-2.4630000000000001</v>
      </c>
      <c r="I15" s="319">
        <f t="shared" si="8"/>
        <v>0</v>
      </c>
      <c r="J15" s="319">
        <f t="shared" si="9"/>
        <v>-1.9E-2</v>
      </c>
      <c r="K15" s="319">
        <f t="shared" si="10"/>
        <v>0</v>
      </c>
      <c r="L15" s="344"/>
      <c r="M15" s="319">
        <f t="shared" si="2"/>
        <v>-3.0390000000000001</v>
      </c>
      <c r="N15" s="319">
        <f t="shared" si="11"/>
        <v>0</v>
      </c>
      <c r="O15" s="6">
        <v>0.3</v>
      </c>
      <c r="P15" s="6">
        <v>1.1900000000000002</v>
      </c>
      <c r="Q15" s="5">
        <v>0</v>
      </c>
      <c r="R15" s="8">
        <v>0.63300000000000001</v>
      </c>
      <c r="S15" s="14">
        <v>0</v>
      </c>
      <c r="T15" s="2">
        <v>0</v>
      </c>
      <c r="U15" s="5">
        <v>0</v>
      </c>
      <c r="V15" s="5">
        <v>0</v>
      </c>
      <c r="W15" s="2">
        <v>0</v>
      </c>
      <c r="X15" s="2">
        <v>0</v>
      </c>
      <c r="Y15" s="5">
        <v>0</v>
      </c>
      <c r="Z15" s="5">
        <v>0</v>
      </c>
      <c r="AA15" s="5">
        <v>0</v>
      </c>
      <c r="AB15" s="5">
        <v>0</v>
      </c>
      <c r="AC15" s="7">
        <v>0</v>
      </c>
      <c r="AD15" s="5">
        <v>0</v>
      </c>
      <c r="AE15" s="7">
        <v>0</v>
      </c>
      <c r="AF15" s="7">
        <v>0</v>
      </c>
      <c r="AG15" s="7">
        <v>-2.5529999999999999</v>
      </c>
      <c r="AH15" s="7">
        <v>0.09</v>
      </c>
      <c r="AI15" s="7">
        <v>0</v>
      </c>
      <c r="AJ15" s="21">
        <v>0</v>
      </c>
      <c r="AK15" s="5">
        <v>0</v>
      </c>
      <c r="AL15" s="5">
        <v>-1.9E-2</v>
      </c>
      <c r="AM15" s="5">
        <v>0</v>
      </c>
      <c r="AN15" s="626">
        <v>0</v>
      </c>
      <c r="AO15" s="628">
        <v>0</v>
      </c>
      <c r="AP15" s="5">
        <v>0</v>
      </c>
      <c r="AQ15" s="10">
        <v>0</v>
      </c>
      <c r="AR15" s="5">
        <v>0</v>
      </c>
      <c r="AS15" s="5">
        <v>0</v>
      </c>
      <c r="AT15" s="628">
        <v>0</v>
      </c>
      <c r="AU15" s="7">
        <v>-0.26900000000000002</v>
      </c>
      <c r="AV15" s="5">
        <v>0</v>
      </c>
      <c r="AW15" s="5">
        <v>0</v>
      </c>
      <c r="AX15" s="5">
        <v>0</v>
      </c>
      <c r="AY15" s="2">
        <v>-2.77</v>
      </c>
      <c r="AZ15" s="5">
        <v>0</v>
      </c>
      <c r="BA15" s="2">
        <v>0</v>
      </c>
      <c r="BB15" s="5">
        <v>0</v>
      </c>
      <c r="BC15" s="5">
        <v>0</v>
      </c>
      <c r="BD15" s="5">
        <v>0</v>
      </c>
      <c r="BE15" s="5">
        <v>0</v>
      </c>
      <c r="BF15" s="2">
        <v>0</v>
      </c>
      <c r="BG15" s="2">
        <v>0</v>
      </c>
      <c r="BH15" s="7">
        <v>-5.4350000000000005</v>
      </c>
      <c r="BI15" s="5">
        <v>-2.29</v>
      </c>
      <c r="BJ15" s="617">
        <v>0</v>
      </c>
    </row>
    <row r="16" spans="1:62">
      <c r="A16" s="318" t="s">
        <v>5</v>
      </c>
      <c r="B16" s="318">
        <f>SUM(B5:B15)</f>
        <v>412.15299999999996</v>
      </c>
      <c r="C16" s="318">
        <f>SUM(C5:C15)</f>
        <v>205.79999999999998</v>
      </c>
      <c r="D16" s="318">
        <f>SUM(D5:D15)</f>
        <v>22.711000000000006</v>
      </c>
      <c r="E16" s="318">
        <f t="shared" ref="E16:H16" si="12">SUM(E5:E15)</f>
        <v>144.88600000000005</v>
      </c>
      <c r="F16" s="318">
        <f t="shared" si="12"/>
        <v>119.563</v>
      </c>
      <c r="G16" s="319">
        <f t="shared" si="6"/>
        <v>174.17</v>
      </c>
      <c r="H16" s="318">
        <f t="shared" si="12"/>
        <v>21.600999999999996</v>
      </c>
      <c r="I16" s="344">
        <f t="shared" ref="I16" si="13">SUM(I5:I15)</f>
        <v>362.04999999999995</v>
      </c>
      <c r="J16" s="344">
        <f t="shared" ref="J16" si="14">SUM(J5:J15)</f>
        <v>169.16899999999998</v>
      </c>
      <c r="K16" s="319">
        <f t="shared" si="10"/>
        <v>112.72</v>
      </c>
      <c r="L16" s="344">
        <f>SUM(L5:L15)</f>
        <v>25.75</v>
      </c>
      <c r="M16" s="319">
        <f t="shared" si="2"/>
        <v>85.197999999999993</v>
      </c>
      <c r="N16" s="319">
        <f>AK16</f>
        <v>8.5</v>
      </c>
      <c r="O16" s="5">
        <f t="shared" ref="O16:BI16" si="15">SUM(O5:O15)</f>
        <v>109.42</v>
      </c>
      <c r="P16" s="5">
        <f t="shared" si="15"/>
        <v>25.819999999999997</v>
      </c>
      <c r="Q16" s="5">
        <f t="shared" si="15"/>
        <v>412.15299999999996</v>
      </c>
      <c r="R16" s="5">
        <f t="shared" si="15"/>
        <v>5.774</v>
      </c>
      <c r="S16" s="5">
        <f t="shared" si="15"/>
        <v>3.8719999999999999</v>
      </c>
      <c r="T16" s="5">
        <f t="shared" si="15"/>
        <v>22.711000000000006</v>
      </c>
      <c r="U16" s="5">
        <f t="shared" si="15"/>
        <v>41.599999999999994</v>
      </c>
      <c r="V16" s="5">
        <f t="shared" si="15"/>
        <v>44.947999999999993</v>
      </c>
      <c r="W16" s="5">
        <f t="shared" si="15"/>
        <v>5</v>
      </c>
      <c r="X16" s="5">
        <f t="shared" si="15"/>
        <v>1.4440000000000002</v>
      </c>
      <c r="Y16" s="5">
        <f t="shared" si="15"/>
        <v>0.2</v>
      </c>
      <c r="Z16" s="5">
        <f t="shared" si="15"/>
        <v>45.4</v>
      </c>
      <c r="AA16" s="5">
        <f t="shared" si="15"/>
        <v>35.5</v>
      </c>
      <c r="AB16" s="5">
        <f t="shared" si="15"/>
        <v>124.7</v>
      </c>
      <c r="AC16" s="5">
        <f t="shared" si="15"/>
        <v>28</v>
      </c>
      <c r="AD16" s="5">
        <f t="shared" si="15"/>
        <v>9.100000000000022E-2</v>
      </c>
      <c r="AE16" s="5">
        <f t="shared" si="15"/>
        <v>22.810000000000002</v>
      </c>
      <c r="AF16" s="5">
        <f t="shared" si="15"/>
        <v>1.42</v>
      </c>
      <c r="AG16" s="5">
        <f t="shared" si="15"/>
        <v>20.662999999999997</v>
      </c>
      <c r="AH16" s="5">
        <f t="shared" si="15"/>
        <v>0.86999999999999988</v>
      </c>
      <c r="AI16" s="5">
        <f t="shared" si="15"/>
        <v>6.8000000000000005E-2</v>
      </c>
      <c r="AJ16" s="5">
        <f t="shared" si="15"/>
        <v>362.04999999999995</v>
      </c>
      <c r="AK16" s="5">
        <f t="shared" ref="AK16:AO16" si="16">SUM(AK5:AK15)</f>
        <v>8.5</v>
      </c>
      <c r="AL16" s="5">
        <f t="shared" si="16"/>
        <v>169.16899999999998</v>
      </c>
      <c r="AM16" s="22">
        <f t="shared" si="16"/>
        <v>0.79700000000000004</v>
      </c>
      <c r="AN16" s="626">
        <f t="shared" si="16"/>
        <v>8.6</v>
      </c>
      <c r="AO16" s="626">
        <f t="shared" si="16"/>
        <v>3.2000000000000006</v>
      </c>
      <c r="AP16" s="5">
        <f t="shared" si="15"/>
        <v>2.8000000000000003</v>
      </c>
      <c r="AQ16" s="23">
        <f>SUM(AQ5:AQ15)</f>
        <v>28</v>
      </c>
      <c r="AR16" s="5">
        <f>SUM(AR5:AR15)</f>
        <v>14.899999999999999</v>
      </c>
      <c r="AS16" s="5">
        <f>SUM(AS5:AS15)</f>
        <v>3.8730000000000002</v>
      </c>
      <c r="AT16" s="626">
        <f t="shared" ref="AT16" si="17">SUM(AT5:AT15)</f>
        <v>50.54999999999999</v>
      </c>
      <c r="AU16" s="5">
        <f t="shared" si="15"/>
        <v>-5.6779999999999999</v>
      </c>
      <c r="AV16" s="5">
        <f t="shared" si="15"/>
        <v>8.177999999999999</v>
      </c>
      <c r="AW16" s="5">
        <f t="shared" si="15"/>
        <v>16.667999999999999</v>
      </c>
      <c r="AX16" s="5">
        <f t="shared" si="15"/>
        <v>9.9</v>
      </c>
      <c r="AY16" s="5">
        <f t="shared" si="15"/>
        <v>-25.860000000000003</v>
      </c>
      <c r="AZ16" s="5">
        <f t="shared" si="15"/>
        <v>81.99</v>
      </c>
      <c r="BA16" s="5">
        <v>0</v>
      </c>
      <c r="BB16" s="5">
        <f t="shared" si="15"/>
        <v>24</v>
      </c>
      <c r="BC16" s="5">
        <f t="shared" si="15"/>
        <v>7.25</v>
      </c>
      <c r="BD16" s="5">
        <f t="shared" si="15"/>
        <v>49.8</v>
      </c>
      <c r="BE16" s="5">
        <f t="shared" si="15"/>
        <v>9.02</v>
      </c>
      <c r="BF16" s="5">
        <f t="shared" si="15"/>
        <v>6.2439999999999998</v>
      </c>
      <c r="BG16" s="5">
        <f t="shared" si="15"/>
        <v>10.218</v>
      </c>
      <c r="BH16" s="5">
        <f t="shared" si="15"/>
        <v>50.203999999999979</v>
      </c>
      <c r="BI16" s="5">
        <f t="shared" si="15"/>
        <v>24.684000000000005</v>
      </c>
      <c r="BJ16" s="619">
        <f>SUM(BJ5:BJ15)</f>
        <v>9.5399999999999991</v>
      </c>
    </row>
    <row r="17" spans="2:61">
      <c r="R17" s="8"/>
      <c r="S17" s="8"/>
      <c r="W17" s="8"/>
      <c r="X17" s="8"/>
      <c r="AE17" s="8"/>
      <c r="AF17" s="8"/>
      <c r="AV17" s="8"/>
      <c r="AW17" s="8"/>
      <c r="AX17" s="8"/>
      <c r="AY17" s="8"/>
      <c r="AZ17" s="8"/>
      <c r="BA17" s="8"/>
      <c r="BC17" s="8"/>
      <c r="BE17" s="8"/>
      <c r="BF17" s="8"/>
      <c r="BG17" s="8"/>
    </row>
    <row r="18" spans="2:61">
      <c r="R18" s="8"/>
      <c r="S18" s="8"/>
      <c r="W18" s="8"/>
      <c r="X18" s="8"/>
      <c r="AE18" s="8"/>
      <c r="AF18" s="8"/>
      <c r="AV18" s="8"/>
      <c r="AW18" s="8"/>
      <c r="AX18" s="8"/>
      <c r="AY18" s="8"/>
      <c r="AZ18" s="8"/>
      <c r="BA18" s="8"/>
      <c r="BC18" s="8" t="s">
        <v>1190</v>
      </c>
      <c r="BD18" s="8" t="s">
        <v>1190</v>
      </c>
      <c r="BE18" s="8"/>
      <c r="BF18" s="8" t="s">
        <v>1190</v>
      </c>
      <c r="BG18" s="8" t="s">
        <v>1190</v>
      </c>
      <c r="BI18" s="8" t="s">
        <v>1190</v>
      </c>
    </row>
    <row r="19" spans="2:61">
      <c r="B19" s="24"/>
      <c r="C19" s="24"/>
      <c r="D19" s="24"/>
      <c r="E19" s="24"/>
      <c r="F19" s="24"/>
      <c r="H19" s="24"/>
      <c r="I19" s="24"/>
      <c r="J19" s="24"/>
      <c r="K19" s="24"/>
      <c r="M19" s="24"/>
      <c r="N19" s="24"/>
      <c r="R19" s="8"/>
      <c r="S19" s="8"/>
      <c r="W19" s="8"/>
      <c r="X19" s="8"/>
      <c r="AE19" s="8"/>
      <c r="AF19" s="8"/>
      <c r="AV19" s="8"/>
      <c r="AW19" s="8"/>
      <c r="AX19" s="8"/>
      <c r="AY19" s="8"/>
      <c r="AZ19" s="8"/>
      <c r="BA19" s="8"/>
      <c r="BC19" s="8"/>
      <c r="BD19" t="s">
        <v>1191</v>
      </c>
      <c r="BE19" s="8"/>
      <c r="BF19" s="8"/>
      <c r="BG19" s="8"/>
    </row>
    <row r="20" spans="2:61">
      <c r="R20" s="8"/>
      <c r="S20" s="8"/>
      <c r="W20" s="8"/>
      <c r="X20" s="8"/>
      <c r="AE20" s="8"/>
      <c r="AF20" s="8"/>
      <c r="AV20" s="8"/>
      <c r="AW20" s="8"/>
      <c r="AX20" s="8"/>
      <c r="AY20" s="8"/>
      <c r="AZ20" s="8"/>
      <c r="BA20" s="8"/>
      <c r="BC20" s="8"/>
      <c r="BE20" s="8"/>
      <c r="BF20" s="8"/>
      <c r="BG20" s="8"/>
    </row>
    <row r="21" spans="2:61">
      <c r="R21" s="8"/>
      <c r="S21" s="8"/>
      <c r="W21" s="8"/>
      <c r="X21" s="8"/>
      <c r="AE21" s="8"/>
      <c r="AF21" s="8"/>
      <c r="AV21" s="8"/>
      <c r="AW21" s="8"/>
      <c r="AX21" s="8"/>
      <c r="AY21" s="8"/>
      <c r="AZ21" s="8"/>
      <c r="BA21" s="8"/>
      <c r="BC21" s="8"/>
      <c r="BE21" s="8"/>
      <c r="BF21" s="8"/>
      <c r="BG21" s="8"/>
    </row>
    <row r="22" spans="2:61">
      <c r="B22" s="24"/>
      <c r="R22" s="8"/>
      <c r="S22" s="8"/>
      <c r="W22" s="8"/>
      <c r="X22" s="8"/>
      <c r="AE22" s="8"/>
      <c r="AF22" s="8"/>
      <c r="AV22" s="8"/>
      <c r="AW22" s="8"/>
      <c r="AX22" s="8"/>
      <c r="AY22" s="8"/>
      <c r="AZ22" s="8"/>
      <c r="BA22" s="8"/>
      <c r="BC22" s="8"/>
      <c r="BE22" s="8"/>
      <c r="BF22" s="8"/>
      <c r="BG22" s="8"/>
    </row>
    <row r="23" spans="2:61">
      <c r="B23" s="24"/>
      <c r="R23" s="8"/>
      <c r="S23" s="8"/>
      <c r="W23" s="8"/>
      <c r="X23" s="8"/>
      <c r="AE23" s="8"/>
      <c r="AF23" s="8"/>
      <c r="AV23" s="8"/>
      <c r="AW23" s="8"/>
      <c r="AX23" s="8"/>
      <c r="AY23" s="8"/>
      <c r="AZ23" s="8"/>
      <c r="BA23" s="8"/>
      <c r="BC23" s="8"/>
      <c r="BE23" s="8"/>
      <c r="BF23" s="8"/>
      <c r="BG23" s="8"/>
    </row>
    <row r="24" spans="2:61">
      <c r="B24" s="24"/>
      <c r="R24" s="8"/>
      <c r="S24" s="8"/>
      <c r="W24" s="8"/>
      <c r="X24" s="8"/>
      <c r="AE24" s="8"/>
      <c r="AF24" s="8"/>
      <c r="AV24" s="8"/>
      <c r="AW24" s="8"/>
      <c r="AX24" s="8"/>
      <c r="AY24" s="8"/>
      <c r="AZ24" s="8"/>
      <c r="BA24" s="8"/>
      <c r="BC24" s="8"/>
      <c r="BE24" s="8"/>
      <c r="BF24" s="8"/>
      <c r="BG24" s="8"/>
    </row>
    <row r="25" spans="2:61">
      <c r="B25" s="24"/>
      <c r="R25" s="8"/>
      <c r="S25" s="8"/>
      <c r="W25" s="8"/>
      <c r="X25" s="8"/>
      <c r="AE25" s="8"/>
      <c r="AF25" s="8"/>
      <c r="AV25" s="8"/>
      <c r="AW25" s="8"/>
      <c r="AX25" s="8"/>
      <c r="AY25" s="8"/>
      <c r="AZ25" s="8"/>
      <c r="BA25" s="8"/>
      <c r="BC25" s="8"/>
      <c r="BE25" s="8"/>
      <c r="BF25" s="8"/>
      <c r="BG25" s="8"/>
    </row>
    <row r="26" spans="2:61">
      <c r="B26" s="24"/>
      <c r="R26" s="8"/>
      <c r="S26" s="8"/>
      <c r="W26" s="8"/>
      <c r="X26" s="8"/>
      <c r="AE26" s="8"/>
      <c r="AF26" s="8"/>
      <c r="AV26" s="8"/>
      <c r="AW26" s="8"/>
      <c r="AX26" s="8"/>
      <c r="AY26" s="8"/>
      <c r="AZ26" s="8"/>
      <c r="BA26" s="8"/>
      <c r="BC26" s="8"/>
      <c r="BE26" s="8"/>
      <c r="BF26" s="8"/>
      <c r="BG26" s="8"/>
    </row>
    <row r="27" spans="2:61">
      <c r="B27" s="24"/>
      <c r="R27" s="8"/>
      <c r="S27" s="8"/>
      <c r="W27" s="8"/>
      <c r="X27" s="8"/>
      <c r="AE27" s="8"/>
      <c r="AF27" s="8"/>
      <c r="AV27" s="8"/>
      <c r="AW27" s="8"/>
      <c r="AX27" s="8"/>
      <c r="AY27" s="8"/>
      <c r="AZ27" s="8"/>
      <c r="BA27" s="8"/>
      <c r="BC27" s="8"/>
      <c r="BE27" s="8"/>
      <c r="BF27" s="8"/>
      <c r="BG27" s="8"/>
    </row>
    <row r="28" spans="2:61">
      <c r="B28" s="24"/>
      <c r="R28" s="8"/>
      <c r="S28" s="8"/>
      <c r="W28" s="8"/>
      <c r="X28" s="8"/>
      <c r="AE28" s="8"/>
      <c r="AF28" s="8"/>
      <c r="AV28" s="8"/>
      <c r="AW28" s="8"/>
      <c r="AX28" s="8"/>
      <c r="AY28" s="8"/>
      <c r="AZ28" s="8"/>
      <c r="BA28" s="8"/>
      <c r="BC28" s="8"/>
      <c r="BE28" s="8"/>
      <c r="BF28" s="8"/>
      <c r="BG28" s="8"/>
    </row>
    <row r="29" spans="2:61">
      <c r="R29" s="8"/>
      <c r="S29" s="8"/>
      <c r="W29" s="8"/>
      <c r="X29" s="8"/>
      <c r="AE29" s="8"/>
      <c r="AF29" s="8"/>
      <c r="AV29" s="8"/>
      <c r="AW29" s="8"/>
      <c r="AX29" s="8"/>
      <c r="AY29" s="8"/>
      <c r="AZ29" s="8"/>
      <c r="BA29" s="8"/>
      <c r="BC29" s="8"/>
      <c r="BE29" s="8"/>
      <c r="BF29" s="8"/>
      <c r="BG29" s="8"/>
    </row>
    <row r="30" spans="2:61">
      <c r="R30" s="8"/>
      <c r="S30" s="8"/>
      <c r="W30" s="8"/>
      <c r="X30" s="8"/>
      <c r="AE30" s="8"/>
      <c r="AF30" s="8"/>
      <c r="AV30" s="8"/>
      <c r="AW30" s="8"/>
      <c r="AX30" s="8"/>
      <c r="AY30" s="8"/>
      <c r="AZ30" s="8"/>
      <c r="BA30" s="8"/>
      <c r="BC30" s="8"/>
      <c r="BE30" s="8"/>
      <c r="BF30" s="8"/>
      <c r="BG30" s="8"/>
    </row>
    <row r="31" spans="2:61">
      <c r="R31" s="8"/>
      <c r="S31" s="8"/>
      <c r="W31" s="8"/>
      <c r="X31" s="8"/>
      <c r="AE31" s="8"/>
      <c r="AF31" s="8"/>
      <c r="AV31" s="8"/>
      <c r="AW31" s="8"/>
      <c r="AX31" s="8"/>
      <c r="AY31" s="8"/>
      <c r="AZ31" s="8"/>
      <c r="BA31" s="8"/>
      <c r="BC31" s="8"/>
      <c r="BE31" s="8"/>
      <c r="BF31" s="8"/>
      <c r="BG31" s="8"/>
    </row>
    <row r="32" spans="2:61">
      <c r="R32" s="8"/>
      <c r="S32" s="8"/>
      <c r="W32" s="8"/>
      <c r="X32" s="8"/>
      <c r="AE32" s="8"/>
      <c r="AF32" s="8"/>
      <c r="AV32" s="8"/>
      <c r="AW32" s="8"/>
      <c r="AX32" s="8"/>
      <c r="AY32" s="8"/>
      <c r="AZ32" s="8"/>
      <c r="BA32" s="8"/>
      <c r="BC32" s="8"/>
      <c r="BE32" s="8"/>
      <c r="BF32" s="8"/>
      <c r="BG32" s="8"/>
    </row>
    <row r="33" spans="18:59">
      <c r="R33" s="8"/>
      <c r="S33" s="8"/>
      <c r="W33" s="8"/>
      <c r="X33" s="8"/>
      <c r="AE33" s="8"/>
      <c r="AF33" s="8"/>
      <c r="AV33" s="8"/>
      <c r="AW33" s="8"/>
      <c r="AX33" s="8"/>
      <c r="AY33" s="8"/>
      <c r="AZ33" s="8"/>
      <c r="BA33" s="8"/>
      <c r="BC33" s="8"/>
      <c r="BE33" s="8"/>
      <c r="BF33" s="8"/>
      <c r="BG33" s="8"/>
    </row>
    <row r="34" spans="18:59">
      <c r="R34" s="8"/>
      <c r="S34" s="8"/>
      <c r="W34" s="8"/>
      <c r="X34" s="8"/>
      <c r="AE34" s="8"/>
      <c r="AF34" s="8"/>
      <c r="AV34" s="8"/>
      <c r="AW34" s="8"/>
      <c r="AX34" s="8"/>
      <c r="AY34" s="8"/>
      <c r="AZ34" s="8"/>
      <c r="BA34" s="8"/>
      <c r="BC34" s="8"/>
      <c r="BE34" s="8"/>
      <c r="BF34" s="8"/>
      <c r="BG34" s="8"/>
    </row>
    <row r="35" spans="18:59">
      <c r="R35" s="8"/>
      <c r="S35" s="8"/>
      <c r="W35" s="8"/>
      <c r="X35" s="8"/>
      <c r="AE35" s="8"/>
      <c r="AF35" s="8"/>
      <c r="AV35" s="8"/>
      <c r="AW35" s="8"/>
      <c r="AX35" s="8"/>
      <c r="AY35" s="8"/>
      <c r="AZ35" s="8"/>
      <c r="BA35" s="8"/>
      <c r="BC35" s="8"/>
      <c r="BE35" s="8"/>
      <c r="BF35" s="8"/>
      <c r="BG35" s="8"/>
    </row>
    <row r="36" spans="18:59">
      <c r="R36" s="8"/>
      <c r="S36" s="8"/>
      <c r="W36" s="8"/>
      <c r="X36" s="8"/>
      <c r="AE36" s="8"/>
      <c r="AF36" s="8"/>
      <c r="AV36" s="8"/>
      <c r="AW36" s="8"/>
      <c r="AX36" s="8"/>
      <c r="AY36" s="8"/>
      <c r="AZ36" s="8"/>
      <c r="BA36" s="8"/>
      <c r="BC36" s="8"/>
      <c r="BE36" s="8"/>
      <c r="BF36" s="8"/>
      <c r="BG36" s="8"/>
    </row>
    <row r="37" spans="18:59">
      <c r="R37" s="8"/>
      <c r="S37" s="8"/>
      <c r="W37" s="8"/>
      <c r="X37" s="8"/>
      <c r="AE37" s="8"/>
      <c r="AF37" s="8"/>
      <c r="AV37" s="8"/>
      <c r="AW37" s="8"/>
      <c r="AX37" s="8"/>
      <c r="AY37" s="8"/>
      <c r="AZ37" s="8"/>
      <c r="BA37" s="8"/>
      <c r="BC37" s="8"/>
      <c r="BE37" s="8"/>
      <c r="BF37" s="8"/>
      <c r="BG37" s="8"/>
    </row>
    <row r="38" spans="18:59">
      <c r="R38" s="8"/>
      <c r="S38" s="8"/>
      <c r="W38" s="8"/>
      <c r="X38" s="8"/>
      <c r="AE38" s="8"/>
      <c r="AF38" s="8"/>
      <c r="AV38" s="8"/>
      <c r="AW38" s="8"/>
      <c r="AX38" s="8"/>
      <c r="AY38" s="8"/>
      <c r="AZ38" s="8"/>
      <c r="BA38" s="8"/>
      <c r="BC38" s="8"/>
      <c r="BE38" s="8"/>
      <c r="BF38" s="8"/>
      <c r="BG38" s="8"/>
    </row>
    <row r="39" spans="18:59">
      <c r="R39" s="8"/>
      <c r="S39" s="8"/>
      <c r="W39" s="8"/>
      <c r="X39" s="8"/>
      <c r="AE39" s="8"/>
      <c r="AF39" s="8"/>
      <c r="AV39" s="8"/>
      <c r="AW39" s="8"/>
      <c r="AX39" s="8"/>
      <c r="AY39" s="8"/>
      <c r="AZ39" s="8"/>
      <c r="BA39" s="8"/>
      <c r="BC39" s="8"/>
      <c r="BE39" s="8"/>
      <c r="BF39" s="8"/>
      <c r="BG39" s="8"/>
    </row>
    <row r="40" spans="18:59">
      <c r="R40" s="8"/>
      <c r="S40" s="8"/>
      <c r="W40" s="8"/>
      <c r="X40" s="8"/>
      <c r="AE40" s="8"/>
      <c r="AF40" s="8"/>
      <c r="AV40" s="8"/>
      <c r="AW40" s="8"/>
      <c r="AX40" s="8"/>
      <c r="AY40" s="8"/>
      <c r="AZ40" s="8"/>
      <c r="BA40" s="8"/>
      <c r="BC40" s="8"/>
      <c r="BE40" s="8"/>
      <c r="BF40" s="8"/>
      <c r="BG40" s="8"/>
    </row>
    <row r="41" spans="18:59">
      <c r="R41" s="8"/>
      <c r="S41" s="8"/>
      <c r="W41" s="8"/>
      <c r="X41" s="8"/>
      <c r="AE41" s="8"/>
      <c r="AF41" s="8"/>
      <c r="AV41" s="8"/>
      <c r="AW41" s="8"/>
      <c r="AX41" s="8"/>
      <c r="AY41" s="8"/>
      <c r="AZ41" s="8"/>
      <c r="BA41" s="8"/>
      <c r="BC41" s="8"/>
      <c r="BE41" s="8"/>
      <c r="BF41" s="8"/>
      <c r="BG41" s="8"/>
    </row>
    <row r="42" spans="18:59">
      <c r="R42" s="8"/>
      <c r="S42" s="8"/>
      <c r="W42" s="8"/>
      <c r="X42" s="8"/>
      <c r="AE42" s="8"/>
      <c r="AF42" s="8"/>
      <c r="AV42" s="8"/>
      <c r="AW42" s="8"/>
      <c r="AX42" s="8"/>
      <c r="AY42" s="8"/>
      <c r="AZ42" s="8"/>
      <c r="BA42" s="8"/>
      <c r="BC42" s="8"/>
      <c r="BE42" s="8"/>
      <c r="BF42" s="8"/>
      <c r="BG42" s="8"/>
    </row>
    <row r="43" spans="18:59">
      <c r="R43" s="8"/>
      <c r="S43" s="8"/>
      <c r="W43" s="8"/>
      <c r="X43" s="8"/>
      <c r="AE43" s="8"/>
      <c r="AF43" s="8"/>
      <c r="AV43" s="8"/>
      <c r="AW43" s="8"/>
      <c r="AX43" s="8"/>
      <c r="AY43" s="8"/>
      <c r="AZ43" s="8"/>
      <c r="BA43" s="8"/>
      <c r="BC43" s="8"/>
      <c r="BE43" s="8"/>
      <c r="BF43" s="8"/>
      <c r="BG43" s="8"/>
    </row>
    <row r="44" spans="18:59">
      <c r="R44" s="8"/>
      <c r="S44" s="8"/>
      <c r="W44" s="8"/>
      <c r="X44" s="8"/>
      <c r="AE44" s="8"/>
      <c r="AF44" s="8"/>
      <c r="AV44" s="8"/>
      <c r="AW44" s="8"/>
      <c r="AX44" s="8"/>
      <c r="AY44" s="8"/>
      <c r="AZ44" s="8"/>
      <c r="BA44" s="8"/>
      <c r="BC44" s="8"/>
      <c r="BE44" s="8"/>
      <c r="BF44" s="8"/>
      <c r="BG44" s="8"/>
    </row>
    <row r="45" spans="18:59">
      <c r="R45" s="8"/>
      <c r="S45" s="8"/>
      <c r="W45" s="8"/>
      <c r="X45" s="8"/>
      <c r="AE45" s="8"/>
      <c r="AF45" s="8"/>
      <c r="AV45" s="8"/>
      <c r="AW45" s="8"/>
      <c r="AX45" s="8"/>
      <c r="AY45" s="8"/>
      <c r="AZ45" s="8"/>
      <c r="BA45" s="8"/>
      <c r="BC45" s="8"/>
      <c r="BE45" s="8"/>
      <c r="BF45" s="8"/>
      <c r="BG45" s="8"/>
    </row>
    <row r="46" spans="18:59">
      <c r="R46" s="8"/>
      <c r="S46" s="8"/>
      <c r="W46" s="8"/>
      <c r="X46" s="8"/>
      <c r="AE46" s="8"/>
      <c r="AF46" s="8"/>
      <c r="AV46" s="8"/>
      <c r="AW46" s="8"/>
      <c r="AX46" s="8"/>
      <c r="AY46" s="8"/>
      <c r="AZ46" s="8"/>
      <c r="BA46" s="8"/>
      <c r="BC46" s="8"/>
      <c r="BE46" s="8"/>
      <c r="BF46" s="8"/>
      <c r="BG46" s="8"/>
    </row>
    <row r="47" spans="18:59">
      <c r="R47" s="8"/>
      <c r="S47" s="8"/>
      <c r="W47" s="8"/>
      <c r="X47" s="8"/>
      <c r="AE47" s="8"/>
      <c r="AF47" s="8"/>
      <c r="AV47" s="8"/>
      <c r="AW47" s="8"/>
      <c r="AX47" s="8"/>
      <c r="AY47" s="8"/>
      <c r="AZ47" s="8"/>
      <c r="BA47" s="8"/>
      <c r="BC47" s="8"/>
      <c r="BE47" s="8"/>
      <c r="BF47" s="8"/>
      <c r="BG47" s="8"/>
    </row>
    <row r="48" spans="18:59">
      <c r="R48" s="8"/>
      <c r="S48" s="8"/>
      <c r="W48" s="8"/>
      <c r="X48" s="8"/>
      <c r="AE48" s="8"/>
      <c r="AF48" s="8"/>
      <c r="AV48" s="8"/>
      <c r="AW48" s="8"/>
      <c r="AX48" s="8"/>
      <c r="AY48" s="8"/>
      <c r="AZ48" s="8"/>
      <c r="BA48" s="8"/>
      <c r="BC48" s="8"/>
      <c r="BE48" s="8"/>
      <c r="BF48" s="8"/>
      <c r="BG48" s="8"/>
    </row>
    <row r="49" spans="18:59">
      <c r="R49" s="8"/>
      <c r="S49" s="8"/>
      <c r="W49" s="8"/>
      <c r="X49" s="8"/>
      <c r="AE49" s="8"/>
      <c r="AF49" s="8"/>
      <c r="AV49" s="8"/>
      <c r="AW49" s="8"/>
      <c r="AX49" s="8"/>
      <c r="AY49" s="8"/>
      <c r="AZ49" s="8"/>
      <c r="BA49" s="8"/>
      <c r="BC49" s="8"/>
      <c r="BE49" s="8"/>
      <c r="BF49" s="8"/>
      <c r="BG49" s="8"/>
    </row>
    <row r="50" spans="18:59">
      <c r="R50" s="8"/>
      <c r="S50" s="8"/>
      <c r="W50" s="8"/>
      <c r="X50" s="8"/>
      <c r="AE50" s="8"/>
      <c r="AF50" s="8"/>
      <c r="AV50" s="8"/>
      <c r="AW50" s="8"/>
      <c r="AX50" s="8"/>
      <c r="AY50" s="8"/>
      <c r="AZ50" s="8"/>
      <c r="BA50" s="8"/>
      <c r="BC50" s="8"/>
      <c r="BE50" s="8"/>
      <c r="BF50" s="8"/>
      <c r="BG50" s="8"/>
    </row>
    <row r="51" spans="18:59">
      <c r="R51" s="8"/>
      <c r="S51" s="8"/>
      <c r="W51" s="8"/>
      <c r="X51" s="8"/>
      <c r="AE51" s="8"/>
      <c r="AF51" s="8"/>
      <c r="AV51" s="8"/>
      <c r="AW51" s="8"/>
      <c r="AX51" s="8"/>
      <c r="AY51" s="8"/>
      <c r="AZ51" s="8"/>
      <c r="BA51" s="8"/>
      <c r="BC51" s="8"/>
      <c r="BE51" s="8"/>
      <c r="BF51" s="8"/>
      <c r="BG51" s="8"/>
    </row>
    <row r="52" spans="18:59">
      <c r="R52" s="8"/>
      <c r="S52" s="8"/>
      <c r="W52" s="8"/>
      <c r="X52" s="8"/>
      <c r="AE52" s="8"/>
      <c r="AF52" s="8"/>
      <c r="AV52" s="8"/>
      <c r="AW52" s="8"/>
      <c r="AX52" s="8"/>
      <c r="AY52" s="8"/>
      <c r="AZ52" s="8"/>
      <c r="BA52" s="8"/>
      <c r="BC52" s="8"/>
      <c r="BE52" s="8"/>
      <c r="BF52" s="8"/>
      <c r="BG52" s="8"/>
    </row>
    <row r="53" spans="18:59">
      <c r="R53" s="8"/>
      <c r="S53" s="8"/>
      <c r="W53" s="8"/>
      <c r="X53" s="8"/>
      <c r="AE53" s="8"/>
      <c r="AF53" s="8"/>
      <c r="AV53" s="8"/>
      <c r="AW53" s="8"/>
      <c r="AX53" s="8"/>
      <c r="AY53" s="8"/>
      <c r="AZ53" s="8"/>
      <c r="BA53" s="8"/>
      <c r="BC53" s="8"/>
      <c r="BE53" s="8"/>
      <c r="BF53" s="8"/>
      <c r="BG53" s="8"/>
    </row>
    <row r="54" spans="18:59">
      <c r="R54" s="8"/>
      <c r="S54" s="8"/>
      <c r="W54" s="8"/>
      <c r="X54" s="8"/>
      <c r="AE54" s="8"/>
      <c r="AF54" s="8"/>
      <c r="AV54" s="8"/>
      <c r="AW54" s="8"/>
      <c r="AX54" s="8"/>
      <c r="AY54" s="8"/>
      <c r="AZ54" s="8"/>
      <c r="BA54" s="8"/>
      <c r="BC54" s="8"/>
      <c r="BE54" s="8"/>
      <c r="BF54" s="8"/>
      <c r="BG54" s="8"/>
    </row>
    <row r="55" spans="18:59">
      <c r="R55" s="8"/>
      <c r="S55" s="8"/>
      <c r="W55" s="8"/>
      <c r="X55" s="8"/>
      <c r="AE55" s="8"/>
      <c r="AF55" s="8"/>
      <c r="AV55" s="8"/>
      <c r="AW55" s="8"/>
      <c r="AX55" s="8"/>
      <c r="AY55" s="8"/>
      <c r="AZ55" s="8"/>
      <c r="BA55" s="8"/>
      <c r="BC55" s="8"/>
      <c r="BE55" s="8"/>
      <c r="BF55" s="8"/>
      <c r="BG55" s="8"/>
    </row>
    <row r="56" spans="18:59">
      <c r="R56" s="8"/>
      <c r="S56" s="8"/>
      <c r="W56" s="8"/>
      <c r="X56" s="8"/>
      <c r="AE56" s="8"/>
      <c r="AF56" s="8"/>
      <c r="AV56" s="8"/>
      <c r="AW56" s="8"/>
      <c r="AX56" s="8"/>
      <c r="AY56" s="8"/>
      <c r="AZ56" s="8"/>
      <c r="BA56" s="8"/>
      <c r="BC56" s="8"/>
      <c r="BE56" s="8"/>
      <c r="BF56" s="8"/>
      <c r="BG56" s="8"/>
    </row>
    <row r="57" spans="18:59">
      <c r="R57" s="8"/>
      <c r="S57" s="8"/>
      <c r="W57" s="8"/>
      <c r="X57" s="8"/>
      <c r="AE57" s="8"/>
      <c r="AF57" s="8"/>
      <c r="AV57" s="8"/>
      <c r="AW57" s="8"/>
      <c r="AX57" s="8"/>
      <c r="AY57" s="8"/>
      <c r="AZ57" s="8"/>
      <c r="BA57" s="8"/>
      <c r="BC57" s="8"/>
      <c r="BE57" s="8"/>
      <c r="BF57" s="8"/>
      <c r="BG57" s="8"/>
    </row>
    <row r="58" spans="18:59">
      <c r="R58" s="8"/>
      <c r="S58" s="8"/>
      <c r="W58" s="8"/>
      <c r="X58" s="8"/>
      <c r="AE58" s="8"/>
      <c r="AF58" s="8"/>
      <c r="AV58" s="8"/>
      <c r="AW58" s="8"/>
      <c r="AX58" s="8"/>
      <c r="AY58" s="8"/>
      <c r="AZ58" s="8"/>
      <c r="BA58" s="8"/>
      <c r="BC58" s="8"/>
      <c r="BE58" s="8"/>
      <c r="BF58" s="8"/>
      <c r="BG58" s="8"/>
    </row>
    <row r="59" spans="18:59">
      <c r="R59" s="8"/>
      <c r="S59" s="8"/>
      <c r="W59" s="8"/>
      <c r="X59" s="8"/>
      <c r="AE59" s="8"/>
      <c r="AF59" s="8"/>
      <c r="AV59" s="8"/>
      <c r="AW59" s="8"/>
      <c r="AX59" s="8"/>
      <c r="AY59" s="8"/>
      <c r="AZ59" s="8"/>
      <c r="BA59" s="8"/>
      <c r="BC59" s="8"/>
      <c r="BE59" s="8"/>
      <c r="BF59" s="8"/>
      <c r="BG59" s="8"/>
    </row>
    <row r="60" spans="18:59">
      <c r="R60" s="8"/>
      <c r="S60" s="8"/>
      <c r="W60" s="8"/>
      <c r="X60" s="8"/>
      <c r="AE60" s="8"/>
      <c r="AF60" s="8"/>
      <c r="AV60" s="8"/>
      <c r="AW60" s="8"/>
      <c r="AX60" s="8"/>
      <c r="AY60" s="8"/>
      <c r="AZ60" s="8"/>
      <c r="BA60" s="8"/>
      <c r="BC60" s="8"/>
      <c r="BE60" s="8"/>
      <c r="BF60" s="8"/>
      <c r="BG60" s="8"/>
    </row>
    <row r="61" spans="18:59">
      <c r="R61" s="8"/>
      <c r="S61" s="8"/>
      <c r="W61" s="8"/>
      <c r="X61" s="8"/>
      <c r="AE61" s="8"/>
      <c r="AF61" s="8"/>
      <c r="AV61" s="8"/>
      <c r="AW61" s="8"/>
      <c r="AX61" s="8"/>
      <c r="AY61" s="8"/>
      <c r="AZ61" s="8"/>
      <c r="BA61" s="8"/>
      <c r="BC61" s="8"/>
      <c r="BE61" s="8"/>
      <c r="BF61" s="8"/>
      <c r="BG61" s="8"/>
    </row>
    <row r="62" spans="18:59">
      <c r="R62" s="8"/>
      <c r="S62" s="8"/>
      <c r="W62" s="8"/>
      <c r="X62" s="8"/>
      <c r="AE62" s="8"/>
      <c r="AF62" s="8"/>
      <c r="AV62" s="8"/>
      <c r="AW62" s="8"/>
      <c r="AX62" s="8"/>
      <c r="AY62" s="8"/>
      <c r="AZ62" s="8"/>
      <c r="BA62" s="8"/>
      <c r="BC62" s="8"/>
      <c r="BE62" s="8"/>
      <c r="BF62" s="8"/>
      <c r="BG62" s="8"/>
    </row>
    <row r="63" spans="18:59">
      <c r="R63" s="8"/>
      <c r="S63" s="8"/>
      <c r="W63" s="8"/>
      <c r="X63" s="8"/>
      <c r="AE63" s="8"/>
      <c r="AF63" s="8"/>
      <c r="AV63" s="8"/>
      <c r="AW63" s="8"/>
      <c r="AX63" s="8"/>
      <c r="AY63" s="8"/>
      <c r="AZ63" s="8"/>
      <c r="BA63" s="8"/>
      <c r="BC63" s="8"/>
      <c r="BE63" s="8"/>
      <c r="BF63" s="8"/>
      <c r="BG63" s="8"/>
    </row>
    <row r="64" spans="18:59">
      <c r="R64" s="8"/>
      <c r="S64" s="8"/>
      <c r="W64" s="8"/>
      <c r="X64" s="8"/>
      <c r="AE64" s="8"/>
      <c r="AF64" s="8"/>
      <c r="AV64" s="8"/>
      <c r="AW64" s="8"/>
      <c r="AX64" s="8"/>
      <c r="AY64" s="8"/>
      <c r="AZ64" s="8"/>
      <c r="BA64" s="8"/>
      <c r="BC64" s="8"/>
      <c r="BE64" s="8"/>
      <c r="BF64" s="8"/>
      <c r="BG64" s="8"/>
    </row>
    <row r="65" spans="18:59">
      <c r="R65" s="8"/>
      <c r="S65" s="8"/>
      <c r="W65" s="8"/>
      <c r="X65" s="8"/>
      <c r="AE65" s="8"/>
      <c r="AF65" s="8"/>
      <c r="AV65" s="8"/>
      <c r="AW65" s="8"/>
      <c r="AX65" s="8"/>
      <c r="AY65" s="8"/>
      <c r="AZ65" s="8"/>
      <c r="BA65" s="8"/>
      <c r="BC65" s="8"/>
      <c r="BE65" s="8"/>
      <c r="BF65" s="8"/>
      <c r="BG65" s="8"/>
    </row>
    <row r="66" spans="18:59">
      <c r="R66" s="8"/>
      <c r="S66" s="8"/>
      <c r="W66" s="8"/>
      <c r="X66" s="8"/>
      <c r="AE66" s="8"/>
      <c r="AF66" s="8"/>
      <c r="AV66" s="8"/>
      <c r="AW66" s="8"/>
      <c r="AX66" s="8"/>
      <c r="AY66" s="8"/>
      <c r="AZ66" s="8"/>
      <c r="BA66" s="8"/>
      <c r="BC66" s="8"/>
      <c r="BE66" s="8"/>
      <c r="BF66" s="8"/>
      <c r="BG66" s="8"/>
    </row>
    <row r="67" spans="18:59">
      <c r="R67" s="8"/>
      <c r="S67" s="8"/>
      <c r="W67" s="8"/>
      <c r="X67" s="8"/>
      <c r="AE67" s="8"/>
      <c r="AF67" s="8"/>
      <c r="AV67" s="8"/>
      <c r="AW67" s="8"/>
      <c r="AX67" s="8"/>
      <c r="AY67" s="8"/>
      <c r="AZ67" s="8"/>
      <c r="BA67" s="8"/>
      <c r="BC67" s="8"/>
      <c r="BE67" s="8"/>
      <c r="BF67" s="8"/>
      <c r="BG67" s="8"/>
    </row>
    <row r="68" spans="18:59">
      <c r="R68" s="8"/>
      <c r="S68" s="8"/>
      <c r="W68" s="8"/>
      <c r="X68" s="8"/>
      <c r="AE68" s="8"/>
      <c r="AF68" s="8"/>
      <c r="AV68" s="8"/>
      <c r="AW68" s="8"/>
      <c r="AX68" s="8"/>
      <c r="AY68" s="8"/>
      <c r="AZ68" s="8"/>
      <c r="BA68" s="8"/>
      <c r="BC68" s="8"/>
      <c r="BE68" s="8"/>
      <c r="BF68" s="8"/>
      <c r="BG68" s="8"/>
    </row>
    <row r="69" spans="18:59">
      <c r="R69" s="8"/>
      <c r="S69" s="8"/>
      <c r="W69" s="8"/>
      <c r="X69" s="8"/>
      <c r="AE69" s="8"/>
      <c r="AF69" s="8"/>
      <c r="AV69" s="8"/>
      <c r="AW69" s="8"/>
      <c r="AX69" s="8"/>
      <c r="AY69" s="8"/>
      <c r="AZ69" s="8"/>
      <c r="BA69" s="8"/>
      <c r="BC69" s="8"/>
      <c r="BE69" s="8"/>
      <c r="BF69" s="8"/>
      <c r="BG69" s="8"/>
    </row>
    <row r="70" spans="18:59">
      <c r="R70" s="8"/>
      <c r="S70" s="8"/>
      <c r="W70" s="8"/>
      <c r="X70" s="8"/>
      <c r="AE70" s="8"/>
      <c r="AF70" s="8"/>
      <c r="AV70" s="8"/>
      <c r="AW70" s="8"/>
      <c r="AX70" s="8"/>
      <c r="AY70" s="8"/>
      <c r="AZ70" s="8"/>
      <c r="BA70" s="8"/>
      <c r="BC70" s="8"/>
      <c r="BE70" s="8"/>
      <c r="BF70" s="8"/>
      <c r="BG70" s="8"/>
    </row>
    <row r="71" spans="18:59">
      <c r="R71" s="8"/>
      <c r="S71" s="8"/>
      <c r="W71" s="8"/>
      <c r="X71" s="8"/>
      <c r="AE71" s="8"/>
      <c r="AF71" s="8"/>
      <c r="AV71" s="8"/>
      <c r="AW71" s="8"/>
      <c r="AX71" s="8"/>
      <c r="AY71" s="8"/>
      <c r="AZ71" s="8"/>
      <c r="BA71" s="8"/>
      <c r="BC71" s="8"/>
      <c r="BE71" s="8"/>
      <c r="BF71" s="8"/>
      <c r="BG71" s="8"/>
    </row>
    <row r="72" spans="18:59">
      <c r="R72" s="8"/>
      <c r="S72" s="8"/>
      <c r="W72" s="8"/>
      <c r="X72" s="8"/>
      <c r="AE72" s="8"/>
      <c r="AF72" s="8"/>
      <c r="AV72" s="8"/>
      <c r="AW72" s="8"/>
      <c r="AX72" s="8"/>
      <c r="AY72" s="8"/>
      <c r="AZ72" s="8"/>
      <c r="BA72" s="8"/>
      <c r="BC72" s="8"/>
      <c r="BE72" s="8"/>
      <c r="BF72" s="8"/>
      <c r="BG72" s="8"/>
    </row>
    <row r="73" spans="18:59">
      <c r="R73" s="8"/>
      <c r="S73" s="8"/>
      <c r="W73" s="8"/>
      <c r="X73" s="8"/>
      <c r="AE73" s="8"/>
      <c r="AF73" s="8"/>
      <c r="AV73" s="8"/>
      <c r="AW73" s="8"/>
      <c r="AX73" s="8"/>
      <c r="AY73" s="8"/>
      <c r="AZ73" s="8"/>
      <c r="BA73" s="8"/>
      <c r="BC73" s="8"/>
      <c r="BE73" s="8"/>
      <c r="BF73" s="8"/>
      <c r="BG73" s="8"/>
    </row>
    <row r="74" spans="18:59">
      <c r="R74" s="8"/>
      <c r="S74" s="8"/>
      <c r="W74" s="8"/>
      <c r="X74" s="8"/>
      <c r="AE74" s="8"/>
      <c r="AF74" s="8"/>
      <c r="AV74" s="8"/>
      <c r="AW74" s="8"/>
      <c r="AX74" s="8"/>
      <c r="AY74" s="8"/>
      <c r="AZ74" s="8"/>
      <c r="BA74" s="8"/>
      <c r="BC74" s="8"/>
      <c r="BE74" s="8"/>
      <c r="BF74" s="8"/>
      <c r="BG74" s="8"/>
    </row>
    <row r="75" spans="18:59">
      <c r="R75" s="8"/>
      <c r="S75" s="8"/>
      <c r="W75" s="8"/>
      <c r="X75" s="8"/>
      <c r="AE75" s="8"/>
      <c r="AF75" s="8"/>
      <c r="AV75" s="8"/>
      <c r="AW75" s="8"/>
      <c r="AX75" s="8"/>
      <c r="AY75" s="8"/>
      <c r="AZ75" s="8"/>
      <c r="BA75" s="8"/>
      <c r="BC75" s="8"/>
      <c r="BE75" s="8"/>
      <c r="BF75" s="8"/>
      <c r="BG75" s="8"/>
    </row>
    <row r="76" spans="18:59">
      <c r="R76" s="8"/>
      <c r="S76" s="8"/>
      <c r="W76" s="8"/>
      <c r="X76" s="8"/>
      <c r="AE76" s="8"/>
      <c r="AF76" s="8"/>
      <c r="AV76" s="8"/>
      <c r="AW76" s="8"/>
      <c r="AX76" s="8"/>
      <c r="AY76" s="8"/>
      <c r="AZ76" s="8"/>
      <c r="BA76" s="8"/>
      <c r="BC76" s="8"/>
      <c r="BE76" s="8"/>
      <c r="BF76" s="8"/>
      <c r="BG76" s="8"/>
    </row>
    <row r="77" spans="18:59">
      <c r="R77" s="8"/>
      <c r="S77" s="8"/>
      <c r="W77" s="8"/>
      <c r="X77" s="8"/>
      <c r="AE77" s="8"/>
      <c r="AF77" s="8"/>
      <c r="AV77" s="8"/>
      <c r="AW77" s="8"/>
      <c r="AX77" s="8"/>
      <c r="AY77" s="8"/>
      <c r="AZ77" s="8"/>
      <c r="BA77" s="8"/>
      <c r="BC77" s="8"/>
      <c r="BE77" s="8"/>
      <c r="BF77" s="8"/>
      <c r="BG77" s="8"/>
    </row>
    <row r="78" spans="18:59">
      <c r="R78" s="8"/>
      <c r="S78" s="8"/>
      <c r="W78" s="8"/>
      <c r="X78" s="8"/>
      <c r="AE78" s="8"/>
      <c r="AF78" s="8"/>
      <c r="AV78" s="8"/>
      <c r="AW78" s="8"/>
      <c r="AX78" s="8"/>
      <c r="AY78" s="8"/>
      <c r="AZ78" s="8"/>
      <c r="BA78" s="8"/>
      <c r="BC78" s="8"/>
      <c r="BE78" s="8"/>
      <c r="BF78" s="8"/>
      <c r="BG78" s="8"/>
    </row>
    <row r="79" spans="18:59">
      <c r="R79" s="8"/>
      <c r="S79" s="8"/>
      <c r="W79" s="8"/>
      <c r="X79" s="8"/>
      <c r="AE79" s="8"/>
      <c r="AF79" s="8"/>
      <c r="AV79" s="8"/>
      <c r="AW79" s="8"/>
      <c r="AX79" s="8"/>
      <c r="AY79" s="8"/>
      <c r="AZ79" s="8"/>
      <c r="BA79" s="8"/>
      <c r="BC79" s="8"/>
      <c r="BE79" s="8"/>
      <c r="BF79" s="8"/>
      <c r="BG79" s="8"/>
    </row>
    <row r="80" spans="18:59">
      <c r="R80" s="8"/>
      <c r="S80" s="8"/>
      <c r="W80" s="8"/>
      <c r="X80" s="8"/>
      <c r="AE80" s="8"/>
      <c r="AF80" s="8"/>
      <c r="AV80" s="8"/>
      <c r="AW80" s="8"/>
      <c r="AX80" s="8"/>
      <c r="AY80" s="8"/>
      <c r="AZ80" s="8"/>
      <c r="BA80" s="8"/>
      <c r="BC80" s="8"/>
      <c r="BE80" s="8"/>
      <c r="BF80" s="8"/>
      <c r="BG80" s="8"/>
    </row>
    <row r="81" spans="18:59">
      <c r="R81" s="8"/>
      <c r="S81" s="8"/>
      <c r="W81" s="8"/>
      <c r="X81" s="8"/>
      <c r="AE81" s="8"/>
      <c r="AF81" s="8"/>
      <c r="AV81" s="8"/>
      <c r="AW81" s="8"/>
      <c r="AX81" s="8"/>
      <c r="AY81" s="8"/>
      <c r="AZ81" s="8"/>
      <c r="BA81" s="8"/>
      <c r="BC81" s="8"/>
      <c r="BE81" s="8"/>
      <c r="BF81" s="8"/>
      <c r="BG81" s="8"/>
    </row>
    <row r="82" spans="18:59">
      <c r="R82" s="8"/>
      <c r="S82" s="8"/>
      <c r="W82" s="8"/>
      <c r="X82" s="8"/>
      <c r="AE82" s="8"/>
      <c r="AF82" s="8"/>
      <c r="AV82" s="8"/>
      <c r="AW82" s="8"/>
      <c r="AX82" s="8"/>
      <c r="AY82" s="8"/>
      <c r="AZ82" s="8"/>
      <c r="BA82" s="8"/>
      <c r="BC82" s="8"/>
      <c r="BE82" s="8"/>
      <c r="BF82" s="8"/>
      <c r="BG82" s="8"/>
    </row>
    <row r="83" spans="18:59">
      <c r="R83" s="8"/>
      <c r="S83" s="8"/>
      <c r="W83" s="8"/>
      <c r="X83" s="8"/>
      <c r="AE83" s="8"/>
      <c r="AF83" s="8"/>
      <c r="AV83" s="8"/>
      <c r="AW83" s="8"/>
      <c r="AX83" s="8"/>
      <c r="AY83" s="8"/>
      <c r="AZ83" s="8"/>
      <c r="BA83" s="8"/>
      <c r="BC83" s="8"/>
      <c r="BE83" s="8"/>
      <c r="BF83" s="8"/>
      <c r="BG83" s="8"/>
    </row>
    <row r="84" spans="18:59">
      <c r="R84" s="8"/>
      <c r="S84" s="8"/>
      <c r="W84" s="8"/>
      <c r="X84" s="8"/>
      <c r="AE84" s="8"/>
      <c r="AF84" s="8"/>
      <c r="AV84" s="8"/>
      <c r="AW84" s="8"/>
      <c r="AX84" s="8"/>
      <c r="AY84" s="8"/>
      <c r="AZ84" s="8"/>
      <c r="BA84" s="8"/>
      <c r="BC84" s="8"/>
      <c r="BE84" s="8"/>
      <c r="BF84" s="8"/>
      <c r="BG84" s="8"/>
    </row>
    <row r="85" spans="18:59">
      <c r="R85" s="8"/>
      <c r="S85" s="8"/>
      <c r="W85" s="8"/>
      <c r="X85" s="8"/>
      <c r="AE85" s="8"/>
      <c r="AF85" s="8"/>
      <c r="AV85" s="8"/>
      <c r="AW85" s="8"/>
      <c r="AX85" s="8"/>
      <c r="AY85" s="8"/>
      <c r="AZ85" s="8"/>
      <c r="BA85" s="8"/>
      <c r="BC85" s="8"/>
      <c r="BE85" s="8"/>
      <c r="BF85" s="8"/>
      <c r="BG85" s="8"/>
    </row>
    <row r="86" spans="18:59">
      <c r="R86" s="8"/>
      <c r="S86" s="8"/>
      <c r="W86" s="8"/>
      <c r="X86" s="8"/>
      <c r="AE86" s="8"/>
      <c r="AF86" s="8"/>
      <c r="AV86" s="8"/>
      <c r="AW86" s="8"/>
      <c r="AX86" s="8"/>
      <c r="AY86" s="8"/>
      <c r="AZ86" s="8"/>
      <c r="BA86" s="8"/>
      <c r="BC86" s="8"/>
      <c r="BE86" s="8"/>
      <c r="BF86" s="8"/>
      <c r="BG86" s="8"/>
    </row>
    <row r="87" spans="18:59">
      <c r="R87" s="8"/>
      <c r="S87" s="8"/>
      <c r="W87" s="8"/>
      <c r="X87" s="8"/>
      <c r="AE87" s="8"/>
      <c r="AF87" s="8"/>
      <c r="AV87" s="8"/>
      <c r="AW87" s="8"/>
      <c r="AX87" s="8"/>
      <c r="AY87" s="8"/>
      <c r="AZ87" s="8"/>
      <c r="BA87" s="8"/>
      <c r="BC87" s="8"/>
      <c r="BE87" s="8"/>
      <c r="BF87" s="8"/>
      <c r="BG87" s="8"/>
    </row>
    <row r="88" spans="18:59">
      <c r="R88" s="8"/>
      <c r="S88" s="8"/>
      <c r="W88" s="8"/>
      <c r="X88" s="8"/>
      <c r="AE88" s="8"/>
      <c r="AF88" s="8"/>
      <c r="AV88" s="8"/>
      <c r="AW88" s="8"/>
      <c r="AX88" s="8"/>
      <c r="AY88" s="8"/>
      <c r="AZ88" s="8"/>
      <c r="BA88" s="8"/>
      <c r="BC88" s="8"/>
      <c r="BE88" s="8"/>
      <c r="BF88" s="8"/>
      <c r="BG88" s="8"/>
    </row>
    <row r="89" spans="18:59">
      <c r="R89" s="8"/>
      <c r="S89" s="8"/>
      <c r="W89" s="8"/>
      <c r="X89" s="8"/>
      <c r="AE89" s="8"/>
      <c r="AF89" s="8"/>
      <c r="AV89" s="8"/>
      <c r="AW89" s="8"/>
      <c r="AX89" s="8"/>
      <c r="AY89" s="8"/>
      <c r="AZ89" s="8"/>
      <c r="BA89" s="8"/>
      <c r="BC89" s="8"/>
      <c r="BE89" s="8"/>
      <c r="BF89" s="8"/>
      <c r="BG89" s="8"/>
    </row>
    <row r="90" spans="18:59">
      <c r="R90" s="8"/>
      <c r="S90" s="8"/>
      <c r="W90" s="8"/>
      <c r="X90" s="8"/>
      <c r="AE90" s="8"/>
      <c r="AF90" s="8"/>
      <c r="AV90" s="8"/>
      <c r="AW90" s="8"/>
      <c r="AX90" s="8"/>
      <c r="AY90" s="8"/>
      <c r="AZ90" s="8"/>
      <c r="BA90" s="8"/>
      <c r="BC90" s="8"/>
      <c r="BE90" s="8"/>
      <c r="BF90" s="8"/>
      <c r="BG90" s="8"/>
    </row>
    <row r="91" spans="18:59">
      <c r="R91" s="8"/>
      <c r="S91" s="8"/>
      <c r="W91" s="8"/>
      <c r="X91" s="8"/>
      <c r="AE91" s="8"/>
      <c r="AF91" s="8"/>
      <c r="AV91" s="8"/>
      <c r="AW91" s="8"/>
      <c r="AX91" s="8"/>
      <c r="AY91" s="8"/>
      <c r="AZ91" s="8"/>
      <c r="BA91" s="8"/>
      <c r="BC91" s="8"/>
      <c r="BE91" s="8"/>
      <c r="BF91" s="8"/>
      <c r="BG91" s="8"/>
    </row>
    <row r="92" spans="18:59">
      <c r="R92" s="8"/>
      <c r="S92" s="8"/>
      <c r="W92" s="8"/>
      <c r="X92" s="8"/>
      <c r="AE92" s="8"/>
      <c r="AF92" s="8"/>
      <c r="AV92" s="8"/>
      <c r="AW92" s="8"/>
      <c r="AX92" s="8"/>
      <c r="AY92" s="8"/>
      <c r="AZ92" s="8"/>
      <c r="BA92" s="8"/>
      <c r="BC92" s="8"/>
      <c r="BE92" s="8"/>
      <c r="BF92" s="8"/>
      <c r="BG92" s="8"/>
    </row>
    <row r="93" spans="18:59">
      <c r="R93" s="8"/>
      <c r="S93" s="8"/>
      <c r="W93" s="8"/>
      <c r="X93" s="8"/>
      <c r="AE93" s="8"/>
      <c r="AF93" s="8"/>
      <c r="AV93" s="8"/>
      <c r="AW93" s="8"/>
      <c r="AX93" s="8"/>
      <c r="AY93" s="8"/>
      <c r="AZ93" s="8"/>
      <c r="BA93" s="8"/>
      <c r="BC93" s="8"/>
      <c r="BE93" s="8"/>
      <c r="BF93" s="8"/>
      <c r="BG93" s="8"/>
    </row>
    <row r="94" spans="18:59">
      <c r="R94" s="8"/>
      <c r="S94" s="8"/>
      <c r="W94" s="8"/>
      <c r="X94" s="8"/>
      <c r="AE94" s="8"/>
      <c r="AF94" s="8"/>
      <c r="AV94" s="8"/>
      <c r="AW94" s="8"/>
      <c r="AX94" s="8"/>
      <c r="AY94" s="8"/>
      <c r="AZ94" s="8"/>
      <c r="BA94" s="8"/>
      <c r="BC94" s="8"/>
      <c r="BE94" s="8"/>
      <c r="BF94" s="8"/>
      <c r="BG94" s="8"/>
    </row>
    <row r="95" spans="18:59">
      <c r="R95" s="8"/>
      <c r="S95" s="8"/>
      <c r="W95" s="8"/>
      <c r="X95" s="8"/>
      <c r="AE95" s="8"/>
      <c r="AF95" s="8"/>
      <c r="AV95" s="8"/>
      <c r="AW95" s="8"/>
      <c r="AX95" s="8"/>
      <c r="AY95" s="8"/>
      <c r="AZ95" s="8"/>
      <c r="BA95" s="8"/>
      <c r="BC95" s="8"/>
      <c r="BE95" s="8"/>
      <c r="BF95" s="8"/>
      <c r="BG95" s="8"/>
    </row>
    <row r="96" spans="18:59">
      <c r="R96" s="8"/>
      <c r="S96" s="8"/>
      <c r="W96" s="8"/>
      <c r="X96" s="8"/>
      <c r="AE96" s="8"/>
      <c r="AF96" s="8"/>
      <c r="AV96" s="8"/>
      <c r="AW96" s="8"/>
      <c r="AX96" s="8"/>
      <c r="AY96" s="8"/>
      <c r="AZ96" s="8"/>
      <c r="BA96" s="8"/>
      <c r="BC96" s="8"/>
      <c r="BE96" s="8"/>
      <c r="BF96" s="8"/>
      <c r="BG96" s="8"/>
    </row>
    <row r="97" spans="18:59">
      <c r="R97" s="8"/>
      <c r="S97" s="8"/>
      <c r="W97" s="8"/>
      <c r="X97" s="8"/>
      <c r="AE97" s="8"/>
      <c r="AF97" s="8"/>
      <c r="AV97" s="8"/>
      <c r="AW97" s="8"/>
      <c r="AX97" s="8"/>
      <c r="AY97" s="8"/>
      <c r="AZ97" s="8"/>
      <c r="BA97" s="8"/>
      <c r="BC97" s="8"/>
      <c r="BE97" s="8"/>
      <c r="BF97" s="8"/>
      <c r="BG97" s="8"/>
    </row>
    <row r="98" spans="18:59">
      <c r="R98" s="8"/>
      <c r="S98" s="8"/>
      <c r="W98" s="8"/>
      <c r="X98" s="8"/>
      <c r="AE98" s="8"/>
      <c r="AF98" s="8"/>
      <c r="AV98" s="8"/>
      <c r="AW98" s="8"/>
      <c r="AX98" s="8"/>
      <c r="AY98" s="8"/>
      <c r="AZ98" s="8"/>
      <c r="BA98" s="8"/>
      <c r="BC98" s="8"/>
      <c r="BE98" s="8"/>
      <c r="BF98" s="8"/>
      <c r="BG98" s="8"/>
    </row>
    <row r="99" spans="18:59">
      <c r="R99" s="8"/>
      <c r="S99" s="8"/>
      <c r="W99" s="8"/>
      <c r="X99" s="8"/>
      <c r="AE99" s="8"/>
      <c r="AF99" s="8"/>
      <c r="AV99" s="8"/>
      <c r="AW99" s="8"/>
      <c r="AX99" s="8"/>
      <c r="AY99" s="8"/>
      <c r="AZ99" s="8"/>
      <c r="BA99" s="8"/>
      <c r="BC99" s="8"/>
      <c r="BE99" s="8"/>
      <c r="BF99" s="8"/>
      <c r="BG99" s="8"/>
    </row>
    <row r="100" spans="18:59">
      <c r="R100" s="8"/>
      <c r="S100" s="8"/>
      <c r="W100" s="8"/>
      <c r="X100" s="8"/>
      <c r="AE100" s="8"/>
      <c r="AF100" s="8"/>
      <c r="AV100" s="8"/>
      <c r="AW100" s="8"/>
      <c r="AX100" s="8"/>
      <c r="AY100" s="8"/>
      <c r="AZ100" s="8"/>
      <c r="BA100" s="8"/>
      <c r="BC100" s="8"/>
      <c r="BE100" s="8"/>
      <c r="BF100" s="8"/>
      <c r="BG100" s="8"/>
    </row>
    <row r="101" spans="18:59">
      <c r="R101" s="8"/>
      <c r="S101" s="8"/>
      <c r="W101" s="8"/>
      <c r="X101" s="8"/>
      <c r="AE101" s="8"/>
      <c r="AF101" s="8"/>
      <c r="AV101" s="8"/>
      <c r="AW101" s="8"/>
      <c r="AX101" s="8"/>
      <c r="AY101" s="8"/>
      <c r="AZ101" s="8"/>
      <c r="BA101" s="8"/>
      <c r="BC101" s="8"/>
      <c r="BE101" s="8"/>
      <c r="BF101" s="8"/>
      <c r="BG101" s="8"/>
    </row>
    <row r="102" spans="18:59">
      <c r="R102" s="8"/>
      <c r="S102" s="8"/>
      <c r="W102" s="8"/>
      <c r="X102" s="8"/>
      <c r="AE102" s="8"/>
      <c r="AF102" s="8"/>
      <c r="AV102" s="8"/>
      <c r="AW102" s="8"/>
      <c r="AX102" s="8"/>
      <c r="AY102" s="8"/>
      <c r="AZ102" s="8"/>
      <c r="BA102" s="8"/>
      <c r="BC102" s="8"/>
      <c r="BE102" s="8"/>
      <c r="BF102" s="8"/>
      <c r="BG102" s="8"/>
    </row>
    <row r="103" spans="18:59">
      <c r="R103" s="8"/>
      <c r="S103" s="8"/>
      <c r="W103" s="8"/>
      <c r="X103" s="8"/>
      <c r="AE103" s="8"/>
      <c r="AF103" s="8"/>
      <c r="AV103" s="8"/>
      <c r="AW103" s="8"/>
      <c r="AX103" s="8"/>
      <c r="AY103" s="8"/>
      <c r="AZ103" s="8"/>
      <c r="BA103" s="8"/>
      <c r="BC103" s="8"/>
      <c r="BE103" s="8"/>
      <c r="BF103" s="8"/>
      <c r="BG103" s="8"/>
    </row>
    <row r="104" spans="18:59">
      <c r="R104" s="8"/>
      <c r="S104" s="8"/>
      <c r="W104" s="8"/>
      <c r="X104" s="8"/>
      <c r="AE104" s="8"/>
      <c r="AF104" s="8"/>
      <c r="AV104" s="8"/>
      <c r="AW104" s="8"/>
      <c r="AX104" s="8"/>
      <c r="AY104" s="8"/>
      <c r="AZ104" s="8"/>
      <c r="BA104" s="8"/>
      <c r="BC104" s="8"/>
      <c r="BE104" s="8"/>
      <c r="BF104" s="8"/>
      <c r="BG104" s="8"/>
    </row>
    <row r="105" spans="18:59">
      <c r="R105" s="8"/>
      <c r="S105" s="8"/>
      <c r="W105" s="8"/>
      <c r="X105" s="8"/>
      <c r="AE105" s="8"/>
      <c r="AF105" s="8"/>
      <c r="AV105" s="8"/>
      <c r="AW105" s="8"/>
      <c r="AX105" s="8"/>
      <c r="AY105" s="8"/>
      <c r="AZ105" s="8"/>
      <c r="BA105" s="8"/>
      <c r="BC105" s="8"/>
      <c r="BE105" s="8"/>
      <c r="BF105" s="8"/>
      <c r="BG105" s="8"/>
    </row>
    <row r="106" spans="18:59">
      <c r="R106" s="8"/>
      <c r="S106" s="8"/>
      <c r="W106" s="8"/>
      <c r="X106" s="8"/>
      <c r="AE106" s="8"/>
      <c r="AF106" s="8"/>
      <c r="AV106" s="8"/>
      <c r="AW106" s="8"/>
      <c r="AX106" s="8"/>
      <c r="AY106" s="8"/>
      <c r="AZ106" s="8"/>
      <c r="BA106" s="8"/>
      <c r="BC106" s="8"/>
      <c r="BE106" s="8"/>
      <c r="BF106" s="8"/>
      <c r="BG106" s="8"/>
    </row>
    <row r="107" spans="18:59">
      <c r="R107" s="8"/>
      <c r="S107" s="8"/>
      <c r="W107" s="8"/>
      <c r="X107" s="8"/>
      <c r="AE107" s="8"/>
      <c r="AF107" s="8"/>
      <c r="AV107" s="8"/>
      <c r="AW107" s="8"/>
      <c r="AX107" s="8"/>
      <c r="AY107" s="8"/>
      <c r="AZ107" s="8"/>
      <c r="BA107" s="8"/>
      <c r="BC107" s="8"/>
      <c r="BE107" s="8"/>
      <c r="BF107" s="8"/>
      <c r="BG107" s="8"/>
    </row>
    <row r="108" spans="18:59">
      <c r="R108" s="8"/>
      <c r="S108" s="8"/>
      <c r="W108" s="8"/>
      <c r="X108" s="8"/>
      <c r="AE108" s="8"/>
      <c r="AF108" s="8"/>
      <c r="AV108" s="8"/>
      <c r="AW108" s="8"/>
      <c r="AX108" s="8"/>
      <c r="AY108" s="8"/>
      <c r="AZ108" s="8"/>
      <c r="BA108" s="8"/>
      <c r="BC108" s="8"/>
      <c r="BE108" s="8"/>
      <c r="BF108" s="8"/>
      <c r="BG108" s="8"/>
    </row>
    <row r="109" spans="18:59">
      <c r="R109" s="8"/>
      <c r="S109" s="8"/>
      <c r="W109" s="8"/>
      <c r="X109" s="8"/>
      <c r="AE109" s="8"/>
      <c r="AF109" s="8"/>
      <c r="AV109" s="8"/>
      <c r="AW109" s="8"/>
      <c r="AX109" s="8"/>
      <c r="AY109" s="8"/>
      <c r="AZ109" s="8"/>
      <c r="BA109" s="8"/>
      <c r="BC109" s="8"/>
      <c r="BE109" s="8"/>
      <c r="BF109" s="8"/>
      <c r="BG109" s="8"/>
    </row>
    <row r="110" spans="18:59">
      <c r="R110" s="8"/>
      <c r="S110" s="8"/>
      <c r="W110" s="8"/>
      <c r="X110" s="8"/>
      <c r="AE110" s="8"/>
      <c r="AF110" s="8"/>
      <c r="AV110" s="8"/>
      <c r="AW110" s="8"/>
      <c r="AX110" s="8"/>
      <c r="AY110" s="8"/>
      <c r="AZ110" s="8"/>
      <c r="BA110" s="8"/>
      <c r="BC110" s="8"/>
      <c r="BE110" s="8"/>
      <c r="BF110" s="8"/>
      <c r="BG110" s="8"/>
    </row>
    <row r="111" spans="18:59">
      <c r="R111" s="8"/>
      <c r="S111" s="8"/>
      <c r="W111" s="8"/>
      <c r="X111" s="8"/>
      <c r="AE111" s="8"/>
      <c r="AF111" s="8"/>
      <c r="AV111" s="8"/>
      <c r="AW111" s="8"/>
      <c r="AX111" s="8"/>
      <c r="AY111" s="8"/>
      <c r="AZ111" s="8"/>
      <c r="BA111" s="8"/>
      <c r="BC111" s="8"/>
      <c r="BE111" s="8"/>
      <c r="BF111" s="8"/>
      <c r="BG111" s="8"/>
    </row>
    <row r="112" spans="18:59">
      <c r="R112" s="8"/>
      <c r="S112" s="8"/>
      <c r="W112" s="8"/>
      <c r="X112" s="8"/>
      <c r="AE112" s="8"/>
      <c r="AF112" s="8"/>
      <c r="AV112" s="8"/>
      <c r="AW112" s="8"/>
      <c r="AX112" s="8"/>
      <c r="AY112" s="8"/>
      <c r="AZ112" s="8"/>
      <c r="BA112" s="8"/>
      <c r="BC112" s="8"/>
      <c r="BE112" s="8"/>
      <c r="BF112" s="8"/>
      <c r="BG112" s="8"/>
    </row>
    <row r="113" spans="18:59">
      <c r="R113" s="8"/>
      <c r="S113" s="8"/>
      <c r="W113" s="8"/>
      <c r="X113" s="8"/>
      <c r="AE113" s="8"/>
      <c r="AF113" s="8"/>
      <c r="AV113" s="8"/>
      <c r="AW113" s="8"/>
      <c r="AX113" s="8"/>
      <c r="AY113" s="8"/>
      <c r="AZ113" s="8"/>
      <c r="BA113" s="8"/>
      <c r="BC113" s="8"/>
      <c r="BE113" s="8"/>
      <c r="BF113" s="8"/>
      <c r="BG113" s="8"/>
    </row>
    <row r="114" spans="18:59">
      <c r="R114" s="8"/>
      <c r="S114" s="8"/>
      <c r="W114" s="8"/>
      <c r="X114" s="8"/>
      <c r="AE114" s="8"/>
      <c r="AF114" s="8"/>
      <c r="AV114" s="8"/>
      <c r="AW114" s="8"/>
      <c r="AX114" s="8"/>
      <c r="AY114" s="8"/>
      <c r="AZ114" s="8"/>
      <c r="BA114" s="8"/>
      <c r="BC114" s="8"/>
      <c r="BE114" s="8"/>
      <c r="BF114" s="8"/>
      <c r="BG114" s="8"/>
    </row>
    <row r="115" spans="18:59">
      <c r="R115" s="8"/>
      <c r="S115" s="8"/>
      <c r="W115" s="8"/>
      <c r="X115" s="8"/>
      <c r="AE115" s="8"/>
      <c r="AF115" s="8"/>
      <c r="AV115" s="8"/>
      <c r="AW115" s="8"/>
      <c r="AX115" s="8"/>
      <c r="AY115" s="8"/>
      <c r="AZ115" s="8"/>
      <c r="BA115" s="8"/>
      <c r="BC115" s="8"/>
      <c r="BE115" s="8"/>
      <c r="BF115" s="8"/>
      <c r="BG115" s="8"/>
    </row>
    <row r="116" spans="18:59">
      <c r="R116" s="8"/>
      <c r="S116" s="8"/>
      <c r="W116" s="8"/>
      <c r="X116" s="8"/>
      <c r="AE116" s="8"/>
      <c r="AF116" s="8"/>
      <c r="AV116" s="8"/>
      <c r="AW116" s="8"/>
      <c r="AX116" s="8"/>
      <c r="AY116" s="8"/>
      <c r="AZ116" s="8"/>
      <c r="BA116" s="8"/>
      <c r="BC116" s="8"/>
      <c r="BE116" s="8"/>
      <c r="BF116" s="8"/>
      <c r="BG116" s="8"/>
    </row>
    <row r="117" spans="18:59">
      <c r="R117" s="8"/>
      <c r="S117" s="8"/>
      <c r="W117" s="8"/>
      <c r="X117" s="8"/>
      <c r="AE117" s="8"/>
      <c r="AF117" s="8"/>
      <c r="AV117" s="8"/>
      <c r="AW117" s="8"/>
      <c r="AX117" s="8"/>
      <c r="AY117" s="8"/>
      <c r="AZ117" s="8"/>
      <c r="BA117" s="8"/>
      <c r="BC117" s="8"/>
      <c r="BE117" s="8"/>
      <c r="BF117" s="8"/>
      <c r="BG117" s="8"/>
    </row>
    <row r="118" spans="18:59">
      <c r="R118" s="8"/>
      <c r="S118" s="8"/>
      <c r="W118" s="8"/>
      <c r="X118" s="8"/>
      <c r="AE118" s="8"/>
      <c r="AF118" s="8"/>
      <c r="AV118" s="8"/>
      <c r="AW118" s="8"/>
      <c r="AX118" s="8"/>
      <c r="AY118" s="8"/>
      <c r="AZ118" s="8"/>
      <c r="BA118" s="8"/>
      <c r="BC118" s="8"/>
      <c r="BE118" s="8"/>
      <c r="BF118" s="8"/>
      <c r="BG118" s="8"/>
    </row>
    <row r="119" spans="18:59">
      <c r="R119" s="8"/>
      <c r="S119" s="8"/>
      <c r="W119" s="8"/>
      <c r="X119" s="8"/>
      <c r="AE119" s="8"/>
      <c r="AF119" s="8"/>
      <c r="AV119" s="8"/>
      <c r="AW119" s="8"/>
      <c r="AX119" s="8"/>
      <c r="AY119" s="8"/>
      <c r="AZ119" s="8"/>
      <c r="BA119" s="8"/>
      <c r="BC119" s="8"/>
      <c r="BE119" s="8"/>
      <c r="BF119" s="8"/>
      <c r="BG119" s="8"/>
    </row>
    <row r="120" spans="18:59">
      <c r="R120" s="8"/>
      <c r="S120" s="8"/>
      <c r="W120" s="8"/>
      <c r="X120" s="8"/>
      <c r="AE120" s="8"/>
      <c r="AF120" s="8"/>
      <c r="AV120" s="8"/>
      <c r="AW120" s="8"/>
      <c r="AX120" s="8"/>
      <c r="AY120" s="8"/>
      <c r="AZ120" s="8"/>
      <c r="BA120" s="8"/>
      <c r="BC120" s="8"/>
      <c r="BE120" s="8"/>
      <c r="BF120" s="8"/>
      <c r="BG120" s="8"/>
    </row>
    <row r="121" spans="18:59">
      <c r="R121" s="8"/>
      <c r="S121" s="8"/>
      <c r="W121" s="8"/>
      <c r="X121" s="8"/>
      <c r="AE121" s="8"/>
      <c r="AF121" s="8"/>
      <c r="AV121" s="8"/>
      <c r="AW121" s="8"/>
      <c r="AX121" s="8"/>
      <c r="AY121" s="8"/>
      <c r="AZ121" s="8"/>
      <c r="BA121" s="8"/>
      <c r="BC121" s="8"/>
      <c r="BE121" s="8"/>
      <c r="BF121" s="8"/>
      <c r="BG121" s="8"/>
    </row>
    <row r="122" spans="18:59">
      <c r="R122" s="8"/>
      <c r="S122" s="8"/>
      <c r="W122" s="8"/>
      <c r="X122" s="8"/>
      <c r="AE122" s="8"/>
      <c r="AF122" s="8"/>
      <c r="AV122" s="8"/>
      <c r="AW122" s="8"/>
      <c r="AX122" s="8"/>
      <c r="AY122" s="8"/>
      <c r="AZ122" s="8"/>
      <c r="BA122" s="8"/>
      <c r="BC122" s="8"/>
      <c r="BE122" s="8"/>
      <c r="BF122" s="8"/>
      <c r="BG122" s="8"/>
    </row>
    <row r="123" spans="18:59">
      <c r="R123" s="8"/>
      <c r="S123" s="8"/>
      <c r="W123" s="8"/>
      <c r="X123" s="8"/>
      <c r="AE123" s="8"/>
      <c r="AF123" s="8"/>
      <c r="AV123" s="8"/>
      <c r="AW123" s="8"/>
      <c r="AX123" s="8"/>
      <c r="AY123" s="8"/>
      <c r="AZ123" s="8"/>
      <c r="BA123" s="8"/>
      <c r="BC123" s="8"/>
      <c r="BE123" s="8"/>
      <c r="BF123" s="8"/>
      <c r="BG123" s="8"/>
    </row>
    <row r="124" spans="18:59">
      <c r="R124" s="8"/>
      <c r="S124" s="8"/>
      <c r="W124" s="8"/>
      <c r="X124" s="8"/>
      <c r="AE124" s="8"/>
      <c r="AF124" s="8"/>
      <c r="AV124" s="8"/>
      <c r="AW124" s="8"/>
      <c r="AX124" s="8"/>
      <c r="AY124" s="8"/>
      <c r="AZ124" s="8"/>
      <c r="BA124" s="8"/>
      <c r="BC124" s="8"/>
      <c r="BE124" s="8"/>
      <c r="BF124" s="8"/>
      <c r="BG124" s="8"/>
    </row>
    <row r="125" spans="18:59">
      <c r="R125" s="8"/>
      <c r="S125" s="8"/>
      <c r="W125" s="8"/>
      <c r="X125" s="8"/>
      <c r="AE125" s="8"/>
      <c r="AF125" s="8"/>
      <c r="AV125" s="8"/>
      <c r="AW125" s="8"/>
      <c r="AX125" s="8"/>
      <c r="AY125" s="8"/>
      <c r="AZ125" s="8"/>
      <c r="BA125" s="8"/>
      <c r="BC125" s="8"/>
      <c r="BE125" s="8"/>
      <c r="BF125" s="8"/>
      <c r="BG125" s="8"/>
    </row>
    <row r="126" spans="18:59">
      <c r="R126" s="8"/>
      <c r="S126" s="8"/>
      <c r="W126" s="8"/>
      <c r="X126" s="8"/>
      <c r="AE126" s="8"/>
      <c r="AF126" s="8"/>
      <c r="AV126" s="8"/>
      <c r="AW126" s="8"/>
      <c r="AX126" s="8"/>
      <c r="AY126" s="8"/>
      <c r="AZ126" s="8"/>
      <c r="BA126" s="8"/>
      <c r="BC126" s="8"/>
      <c r="BE126" s="8"/>
      <c r="BF126" s="8"/>
      <c r="BG126" s="8"/>
    </row>
    <row r="127" spans="18:59">
      <c r="R127" s="8"/>
      <c r="S127" s="8"/>
      <c r="W127" s="8"/>
      <c r="X127" s="8"/>
      <c r="AE127" s="8"/>
      <c r="AF127" s="8"/>
      <c r="AV127" s="8"/>
      <c r="AW127" s="8"/>
      <c r="AX127" s="8"/>
      <c r="AY127" s="8"/>
      <c r="AZ127" s="8"/>
      <c r="BA127" s="8"/>
      <c r="BC127" s="8"/>
      <c r="BE127" s="8"/>
      <c r="BF127" s="8"/>
      <c r="BG127" s="8"/>
    </row>
    <row r="128" spans="18:59">
      <c r="R128" s="8"/>
      <c r="S128" s="8"/>
      <c r="W128" s="8"/>
      <c r="X128" s="8"/>
      <c r="AE128" s="8"/>
      <c r="AF128" s="8"/>
      <c r="AV128" s="8"/>
      <c r="AW128" s="8"/>
      <c r="AX128" s="8"/>
      <c r="AY128" s="8"/>
      <c r="AZ128" s="8"/>
      <c r="BA128" s="8"/>
      <c r="BC128" s="8"/>
      <c r="BE128" s="8"/>
      <c r="BF128" s="8"/>
      <c r="BG128" s="8"/>
    </row>
    <row r="129" spans="18:59">
      <c r="R129" s="8"/>
      <c r="S129" s="8"/>
      <c r="W129" s="8"/>
      <c r="X129" s="8"/>
      <c r="AE129" s="8"/>
      <c r="AF129" s="8"/>
      <c r="AV129" s="8"/>
      <c r="AW129" s="8"/>
      <c r="AX129" s="8"/>
      <c r="AY129" s="8"/>
      <c r="AZ129" s="8"/>
      <c r="BA129" s="8"/>
      <c r="BC129" s="8"/>
      <c r="BE129" s="8"/>
      <c r="BF129" s="8"/>
      <c r="BG129" s="8"/>
    </row>
    <row r="130" spans="18:59">
      <c r="R130" s="8"/>
      <c r="S130" s="8"/>
      <c r="W130" s="8"/>
      <c r="X130" s="8"/>
      <c r="AE130" s="8"/>
      <c r="AF130" s="8"/>
      <c r="AV130" s="8"/>
      <c r="AW130" s="8"/>
      <c r="AX130" s="8"/>
      <c r="AY130" s="8"/>
      <c r="AZ130" s="8"/>
      <c r="BA130" s="8"/>
      <c r="BC130" s="8"/>
      <c r="BE130" s="8"/>
      <c r="BF130" s="8"/>
      <c r="BG130" s="8"/>
    </row>
    <row r="131" spans="18:59">
      <c r="R131" s="8"/>
      <c r="S131" s="8"/>
      <c r="W131" s="8"/>
      <c r="X131" s="8"/>
      <c r="AE131" s="8"/>
      <c r="AF131" s="8"/>
      <c r="AV131" s="8"/>
      <c r="AW131" s="8"/>
      <c r="AX131" s="8"/>
      <c r="AY131" s="8"/>
      <c r="AZ131" s="8"/>
      <c r="BA131" s="8"/>
      <c r="BC131" s="8"/>
      <c r="BE131" s="8"/>
      <c r="BF131" s="8"/>
      <c r="BG131" s="8"/>
    </row>
    <row r="132" spans="18:59">
      <c r="R132" s="8"/>
      <c r="S132" s="8"/>
      <c r="W132" s="8"/>
      <c r="X132" s="8"/>
      <c r="AE132" s="8"/>
      <c r="AF132" s="8"/>
      <c r="AV132" s="8"/>
      <c r="AW132" s="8"/>
      <c r="AX132" s="8"/>
      <c r="AY132" s="8"/>
      <c r="AZ132" s="8"/>
      <c r="BA132" s="8"/>
      <c r="BC132" s="8"/>
      <c r="BE132" s="8"/>
      <c r="BF132" s="8"/>
      <c r="BG132" s="8"/>
    </row>
    <row r="133" spans="18:59">
      <c r="R133" s="8"/>
      <c r="S133" s="8"/>
      <c r="W133" s="8"/>
      <c r="X133" s="8"/>
      <c r="AE133" s="8"/>
      <c r="AF133" s="8"/>
      <c r="AV133" s="8"/>
      <c r="AW133" s="8"/>
      <c r="AX133" s="8"/>
      <c r="AY133" s="8"/>
      <c r="AZ133" s="8"/>
      <c r="BA133" s="8"/>
      <c r="BC133" s="8"/>
      <c r="BE133" s="8"/>
      <c r="BF133" s="8"/>
      <c r="BG133" s="8"/>
    </row>
    <row r="134" spans="18:59">
      <c r="R134" s="8"/>
      <c r="S134" s="8"/>
      <c r="W134" s="8"/>
      <c r="X134" s="8"/>
      <c r="AE134" s="8"/>
      <c r="AF134" s="8"/>
      <c r="AV134" s="8"/>
      <c r="AW134" s="8"/>
      <c r="AX134" s="8"/>
      <c r="AY134" s="8"/>
      <c r="AZ134" s="8"/>
      <c r="BA134" s="8"/>
      <c r="BC134" s="8"/>
      <c r="BE134" s="8"/>
      <c r="BF134" s="8"/>
      <c r="BG134" s="8"/>
    </row>
    <row r="135" spans="18:59">
      <c r="R135" s="8"/>
      <c r="S135" s="8"/>
      <c r="W135" s="8"/>
      <c r="X135" s="8"/>
      <c r="AE135" s="8"/>
      <c r="AF135" s="8"/>
      <c r="AV135" s="8"/>
      <c r="AW135" s="8"/>
      <c r="AX135" s="8"/>
      <c r="AY135" s="8"/>
      <c r="AZ135" s="8"/>
      <c r="BA135" s="8"/>
      <c r="BC135" s="8"/>
      <c r="BE135" s="8"/>
      <c r="BF135" s="8"/>
      <c r="BG135" s="8"/>
    </row>
    <row r="136" spans="18:59">
      <c r="R136" s="8"/>
      <c r="S136" s="8"/>
      <c r="W136" s="8"/>
      <c r="X136" s="8"/>
      <c r="AE136" s="8"/>
      <c r="AF136" s="8"/>
      <c r="AV136" s="8"/>
      <c r="AW136" s="8"/>
      <c r="AX136" s="8"/>
      <c r="AY136" s="8"/>
      <c r="AZ136" s="8"/>
      <c r="BA136" s="8"/>
      <c r="BC136" s="8"/>
      <c r="BE136" s="8"/>
      <c r="BF136" s="8"/>
      <c r="BG136" s="8"/>
    </row>
    <row r="137" spans="18:59">
      <c r="R137" s="8"/>
      <c r="S137" s="8"/>
      <c r="W137" s="8"/>
      <c r="X137" s="8"/>
      <c r="AE137" s="8"/>
      <c r="AF137" s="8"/>
      <c r="AV137" s="8"/>
      <c r="AW137" s="8"/>
      <c r="AX137" s="8"/>
      <c r="AY137" s="8"/>
      <c r="AZ137" s="8"/>
      <c r="BA137" s="8"/>
      <c r="BC137" s="8"/>
      <c r="BE137" s="8"/>
      <c r="BF137" s="8"/>
      <c r="BG137" s="8"/>
    </row>
    <row r="138" spans="18:59">
      <c r="R138" s="8"/>
      <c r="S138" s="8"/>
      <c r="W138" s="8"/>
      <c r="X138" s="8"/>
      <c r="AE138" s="8"/>
      <c r="AF138" s="8"/>
      <c r="AV138" s="8"/>
      <c r="AW138" s="8"/>
      <c r="AX138" s="8"/>
      <c r="AY138" s="8"/>
      <c r="AZ138" s="8"/>
      <c r="BA138" s="8"/>
      <c r="BC138" s="8"/>
      <c r="BE138" s="8"/>
      <c r="BF138" s="8"/>
      <c r="BG138" s="8"/>
    </row>
    <row r="139" spans="18:59">
      <c r="R139" s="8"/>
      <c r="S139" s="8"/>
      <c r="W139" s="8"/>
      <c r="X139" s="8"/>
      <c r="AE139" s="8"/>
      <c r="AF139" s="8"/>
      <c r="AV139" s="8"/>
      <c r="AW139" s="8"/>
      <c r="AX139" s="8"/>
      <c r="AY139" s="8"/>
      <c r="AZ139" s="8"/>
      <c r="BA139" s="8"/>
      <c r="BC139" s="8"/>
      <c r="BE139" s="8"/>
      <c r="BF139" s="8"/>
      <c r="BG139" s="8"/>
    </row>
    <row r="140" spans="18:59">
      <c r="R140" s="8"/>
      <c r="S140" s="8"/>
      <c r="W140" s="8"/>
      <c r="X140" s="8"/>
      <c r="AE140" s="8"/>
      <c r="AF140" s="8"/>
      <c r="AV140" s="8"/>
      <c r="AW140" s="8"/>
      <c r="AX140" s="8"/>
      <c r="AY140" s="8"/>
      <c r="AZ140" s="8"/>
      <c r="BA140" s="8"/>
      <c r="BC140" s="8"/>
      <c r="BE140" s="8"/>
      <c r="BF140" s="8"/>
      <c r="BG140" s="8"/>
    </row>
    <row r="141" spans="18:59">
      <c r="R141" s="8"/>
      <c r="S141" s="8"/>
      <c r="W141" s="8"/>
      <c r="X141" s="8"/>
      <c r="AE141" s="8"/>
      <c r="AF141" s="8"/>
      <c r="AV141" s="8"/>
      <c r="AW141" s="8"/>
      <c r="AX141" s="8"/>
      <c r="AY141" s="8"/>
      <c r="AZ141" s="8"/>
      <c r="BA141" s="8"/>
      <c r="BC141" s="8"/>
      <c r="BE141" s="8"/>
      <c r="BF141" s="8"/>
      <c r="BG141" s="8"/>
    </row>
    <row r="142" spans="18:59">
      <c r="R142" s="8"/>
      <c r="S142" s="8"/>
      <c r="W142" s="8"/>
      <c r="X142" s="8"/>
      <c r="AE142" s="8"/>
      <c r="AF142" s="8"/>
      <c r="AV142" s="8"/>
      <c r="AW142" s="8"/>
      <c r="AX142" s="8"/>
      <c r="AY142" s="8"/>
      <c r="AZ142" s="8"/>
      <c r="BA142" s="8"/>
      <c r="BC142" s="8"/>
      <c r="BE142" s="8"/>
      <c r="BF142" s="8"/>
      <c r="BG142" s="8"/>
    </row>
    <row r="143" spans="18:59">
      <c r="R143" s="8"/>
      <c r="S143" s="8"/>
      <c r="W143" s="8"/>
      <c r="X143" s="8"/>
      <c r="AE143" s="8"/>
      <c r="AF143" s="8"/>
      <c r="AV143" s="8"/>
      <c r="AW143" s="8"/>
      <c r="AX143" s="8"/>
      <c r="AY143" s="8"/>
      <c r="AZ143" s="8"/>
      <c r="BA143" s="8"/>
      <c r="BC143" s="8"/>
      <c r="BE143" s="8"/>
      <c r="BF143" s="8"/>
      <c r="BG143" s="8"/>
    </row>
    <row r="144" spans="18:59">
      <c r="R144" s="8"/>
      <c r="S144" s="8"/>
      <c r="W144" s="8"/>
      <c r="X144" s="8"/>
      <c r="AE144" s="8"/>
      <c r="AF144" s="8"/>
      <c r="AV144" s="8"/>
      <c r="AW144" s="8"/>
      <c r="AX144" s="8"/>
      <c r="AY144" s="8"/>
      <c r="AZ144" s="8"/>
      <c r="BA144" s="8"/>
      <c r="BC144" s="8"/>
      <c r="BE144" s="8"/>
      <c r="BF144" s="8"/>
      <c r="BG144" s="8"/>
    </row>
    <row r="145" spans="18:59">
      <c r="R145" s="8"/>
      <c r="S145" s="8"/>
      <c r="W145" s="8"/>
      <c r="X145" s="8"/>
      <c r="AE145" s="8"/>
      <c r="AF145" s="8"/>
      <c r="AV145" s="8"/>
      <c r="AW145" s="8"/>
      <c r="AX145" s="8"/>
      <c r="AY145" s="8"/>
      <c r="AZ145" s="8"/>
      <c r="BA145" s="8"/>
      <c r="BC145" s="8"/>
      <c r="BE145" s="8"/>
      <c r="BF145" s="8"/>
      <c r="BG145" s="8"/>
    </row>
    <row r="146" spans="18:59">
      <c r="R146" s="8"/>
      <c r="S146" s="8"/>
      <c r="W146" s="8"/>
      <c r="X146" s="8"/>
      <c r="AE146" s="8"/>
      <c r="AF146" s="8"/>
      <c r="AV146" s="8"/>
      <c r="AW146" s="8"/>
      <c r="AX146" s="8"/>
      <c r="AY146" s="8"/>
      <c r="AZ146" s="8"/>
      <c r="BA146" s="8"/>
      <c r="BC146" s="8"/>
      <c r="BE146" s="8"/>
      <c r="BF146" s="8"/>
      <c r="BG146" s="8"/>
    </row>
    <row r="147" spans="18:59">
      <c r="R147" s="8"/>
      <c r="S147" s="8"/>
      <c r="W147" s="8"/>
      <c r="X147" s="8"/>
      <c r="AE147" s="8"/>
      <c r="AF147" s="8"/>
      <c r="AV147" s="8"/>
      <c r="AW147" s="8"/>
      <c r="AX147" s="8"/>
      <c r="AY147" s="8"/>
      <c r="AZ147" s="8"/>
      <c r="BA147" s="8"/>
      <c r="BC147" s="8"/>
      <c r="BE147" s="8"/>
      <c r="BF147" s="8"/>
      <c r="BG147" s="8"/>
    </row>
    <row r="148" spans="18:59">
      <c r="R148" s="8"/>
      <c r="S148" s="8"/>
      <c r="W148" s="8"/>
      <c r="X148" s="8"/>
      <c r="AE148" s="8"/>
      <c r="AF148" s="8"/>
      <c r="AV148" s="8"/>
      <c r="AW148" s="8"/>
      <c r="AX148" s="8"/>
      <c r="AY148" s="8"/>
      <c r="AZ148" s="8"/>
      <c r="BA148" s="8"/>
      <c r="BC148" s="8"/>
      <c r="BE148" s="8"/>
      <c r="BF148" s="8"/>
      <c r="BG148" s="8"/>
    </row>
    <row r="149" spans="18:59">
      <c r="R149" s="8"/>
      <c r="S149" s="8"/>
      <c r="W149" s="8"/>
      <c r="X149" s="8"/>
      <c r="AE149" s="8"/>
      <c r="AF149" s="8"/>
      <c r="AV149" s="8"/>
      <c r="AW149" s="8"/>
      <c r="AX149" s="8"/>
      <c r="AY149" s="8"/>
      <c r="AZ149" s="8"/>
      <c r="BA149" s="8"/>
      <c r="BC149" s="8"/>
      <c r="BE149" s="8"/>
      <c r="BF149" s="8"/>
      <c r="BG149" s="8"/>
    </row>
    <row r="150" spans="18:59">
      <c r="R150" s="8"/>
      <c r="S150" s="8"/>
      <c r="W150" s="8"/>
      <c r="X150" s="8"/>
      <c r="AE150" s="8"/>
      <c r="AF150" s="8"/>
      <c r="AV150" s="8"/>
      <c r="AW150" s="8"/>
      <c r="AX150" s="8"/>
      <c r="AY150" s="8"/>
      <c r="AZ150" s="8"/>
      <c r="BA150" s="8"/>
      <c r="BC150" s="8"/>
      <c r="BE150" s="8"/>
      <c r="BF150" s="8"/>
      <c r="BG150" s="8"/>
    </row>
    <row r="151" spans="18:59">
      <c r="R151" s="8"/>
      <c r="S151" s="8"/>
      <c r="W151" s="8"/>
      <c r="X151" s="8"/>
      <c r="AE151" s="8"/>
      <c r="AF151" s="8"/>
      <c r="AV151" s="8"/>
      <c r="AW151" s="8"/>
      <c r="AX151" s="8"/>
      <c r="AY151" s="8"/>
      <c r="AZ151" s="8"/>
      <c r="BA151" s="8"/>
      <c r="BC151" s="8"/>
      <c r="BE151" s="8"/>
      <c r="BF151" s="8"/>
      <c r="BG151" s="8"/>
    </row>
    <row r="152" spans="18:59">
      <c r="R152" s="8"/>
      <c r="S152" s="8"/>
      <c r="W152" s="8"/>
      <c r="X152" s="8"/>
      <c r="AE152" s="8"/>
      <c r="AF152" s="8"/>
      <c r="AV152" s="8"/>
      <c r="AW152" s="8"/>
      <c r="AX152" s="8"/>
      <c r="AY152" s="8"/>
      <c r="AZ152" s="8"/>
      <c r="BA152" s="8"/>
      <c r="BC152" s="8"/>
      <c r="BE152" s="8"/>
      <c r="BF152" s="8"/>
      <c r="BG152" s="8"/>
    </row>
    <row r="153" spans="18:59">
      <c r="R153" s="8"/>
      <c r="S153" s="8"/>
      <c r="W153" s="8"/>
      <c r="X153" s="8"/>
      <c r="AE153" s="8"/>
      <c r="AF153" s="8"/>
      <c r="AV153" s="8"/>
      <c r="AW153" s="8"/>
      <c r="AX153" s="8"/>
      <c r="AY153" s="8"/>
      <c r="AZ153" s="8"/>
      <c r="BA153" s="8"/>
      <c r="BC153" s="8"/>
      <c r="BE153" s="8"/>
      <c r="BF153" s="8"/>
      <c r="BG153" s="8"/>
    </row>
    <row r="154" spans="18:59">
      <c r="R154" s="8"/>
      <c r="S154" s="8"/>
      <c r="W154" s="8"/>
      <c r="X154" s="8"/>
      <c r="AE154" s="8"/>
      <c r="AF154" s="8"/>
      <c r="AV154" s="8"/>
      <c r="AW154" s="8"/>
      <c r="AX154" s="8"/>
      <c r="AY154" s="8"/>
      <c r="AZ154" s="8"/>
      <c r="BA154" s="8"/>
      <c r="BC154" s="8"/>
      <c r="BE154" s="8"/>
      <c r="BF154" s="8"/>
      <c r="BG154" s="8"/>
    </row>
    <row r="155" spans="18:59">
      <c r="R155" s="8"/>
      <c r="S155" s="8"/>
      <c r="W155" s="8"/>
      <c r="X155" s="8"/>
      <c r="AE155" s="8"/>
      <c r="AF155" s="8"/>
      <c r="AV155" s="8"/>
      <c r="AW155" s="8"/>
      <c r="AX155" s="8"/>
      <c r="AY155" s="8"/>
      <c r="AZ155" s="8"/>
      <c r="BA155" s="8"/>
      <c r="BC155" s="8"/>
      <c r="BE155" s="8"/>
      <c r="BF155" s="8"/>
      <c r="BG155" s="8"/>
    </row>
    <row r="156" spans="18:59">
      <c r="R156" s="8"/>
      <c r="S156" s="8"/>
      <c r="W156" s="8"/>
      <c r="X156" s="8"/>
      <c r="AE156" s="8"/>
      <c r="AF156" s="8"/>
      <c r="AV156" s="8"/>
      <c r="AW156" s="8"/>
      <c r="AX156" s="8"/>
      <c r="AY156" s="8"/>
      <c r="AZ156" s="8"/>
      <c r="BA156" s="8"/>
      <c r="BC156" s="8"/>
      <c r="BE156" s="8"/>
      <c r="BF156" s="8"/>
      <c r="BG156" s="8"/>
    </row>
    <row r="157" spans="18:59">
      <c r="R157" s="8"/>
      <c r="S157" s="8"/>
      <c r="W157" s="8"/>
      <c r="X157" s="8"/>
      <c r="AE157" s="8"/>
      <c r="AF157" s="8"/>
      <c r="AV157" s="8"/>
      <c r="AW157" s="8"/>
      <c r="AX157" s="8"/>
      <c r="AY157" s="8"/>
      <c r="AZ157" s="8"/>
      <c r="BA157" s="8"/>
      <c r="BC157" s="8"/>
      <c r="BE157" s="8"/>
      <c r="BF157" s="8"/>
      <c r="BG157" s="8"/>
    </row>
    <row r="158" spans="18:59">
      <c r="R158" s="8"/>
      <c r="S158" s="8"/>
      <c r="W158" s="8"/>
      <c r="X158" s="8"/>
      <c r="AE158" s="8"/>
      <c r="AF158" s="8"/>
      <c r="AV158" s="8"/>
      <c r="AW158" s="8"/>
      <c r="AX158" s="8"/>
      <c r="AY158" s="8"/>
      <c r="AZ158" s="8"/>
      <c r="BA158" s="8"/>
      <c r="BC158" s="8"/>
      <c r="BE158" s="8"/>
      <c r="BF158" s="8"/>
      <c r="BG158" s="8"/>
    </row>
    <row r="159" spans="18:59">
      <c r="R159" s="8"/>
      <c r="S159" s="8"/>
      <c r="W159" s="8"/>
      <c r="X159" s="8"/>
      <c r="AE159" s="8"/>
      <c r="AF159" s="8"/>
      <c r="AV159" s="8"/>
      <c r="AW159" s="8"/>
      <c r="AX159" s="8"/>
      <c r="AY159" s="8"/>
      <c r="AZ159" s="8"/>
      <c r="BA159" s="8"/>
      <c r="BC159" s="8"/>
      <c r="BE159" s="8"/>
      <c r="BF159" s="8"/>
      <c r="BG159" s="8"/>
    </row>
    <row r="160" spans="18:59">
      <c r="R160" s="8"/>
      <c r="S160" s="8"/>
      <c r="W160" s="8"/>
      <c r="X160" s="8"/>
      <c r="AE160" s="8"/>
      <c r="AF160" s="8"/>
      <c r="AV160" s="8"/>
      <c r="AW160" s="8"/>
      <c r="AX160" s="8"/>
      <c r="AY160" s="8"/>
      <c r="AZ160" s="8"/>
      <c r="BA160" s="8"/>
      <c r="BC160" s="8"/>
      <c r="BE160" s="8"/>
      <c r="BF160" s="8"/>
      <c r="BG160" s="8"/>
    </row>
    <row r="161" spans="18:59">
      <c r="R161" s="8"/>
      <c r="S161" s="8"/>
      <c r="W161" s="8"/>
      <c r="X161" s="8"/>
      <c r="AE161" s="8"/>
      <c r="AF161" s="8"/>
      <c r="AV161" s="8"/>
      <c r="AW161" s="8"/>
      <c r="AX161" s="8"/>
      <c r="AY161" s="8"/>
      <c r="AZ161" s="8"/>
      <c r="BA161" s="8"/>
      <c r="BC161" s="8"/>
      <c r="BE161" s="8"/>
      <c r="BF161" s="8"/>
      <c r="BG161" s="8"/>
    </row>
    <row r="162" spans="18:59">
      <c r="R162" s="8"/>
      <c r="S162" s="8"/>
      <c r="W162" s="8"/>
      <c r="X162" s="8"/>
      <c r="AE162" s="8"/>
      <c r="AF162" s="8"/>
      <c r="AV162" s="8"/>
      <c r="AW162" s="8"/>
      <c r="AX162" s="8"/>
      <c r="AY162" s="8"/>
      <c r="AZ162" s="8"/>
      <c r="BA162" s="8"/>
      <c r="BC162" s="8"/>
      <c r="BE162" s="8"/>
      <c r="BF162" s="8"/>
      <c r="BG162" s="8"/>
    </row>
    <row r="163" spans="18:59">
      <c r="R163" s="8"/>
      <c r="S163" s="8"/>
      <c r="W163" s="8"/>
      <c r="X163" s="8"/>
      <c r="AE163" s="8"/>
      <c r="AF163" s="8"/>
      <c r="AV163" s="8"/>
      <c r="AW163" s="8"/>
      <c r="AX163" s="8"/>
      <c r="AY163" s="8"/>
      <c r="AZ163" s="8"/>
      <c r="BA163" s="8"/>
      <c r="BC163" s="8"/>
      <c r="BE163" s="8"/>
      <c r="BF163" s="8"/>
      <c r="BG163" s="8"/>
    </row>
    <row r="164" spans="18:59">
      <c r="R164" s="8"/>
      <c r="S164" s="8"/>
      <c r="W164" s="8"/>
      <c r="X164" s="8"/>
      <c r="AE164" s="8"/>
      <c r="AF164" s="8"/>
      <c r="AV164" s="8"/>
      <c r="AW164" s="8"/>
      <c r="AX164" s="8"/>
      <c r="AY164" s="8"/>
      <c r="AZ164" s="8"/>
      <c r="BA164" s="8"/>
      <c r="BC164" s="8"/>
      <c r="BE164" s="8"/>
      <c r="BF164" s="8"/>
      <c r="BG164" s="8"/>
    </row>
    <row r="165" spans="18:59">
      <c r="R165" s="8"/>
      <c r="S165" s="8"/>
      <c r="W165" s="8"/>
      <c r="X165" s="8"/>
      <c r="AE165" s="8"/>
      <c r="AF165" s="8"/>
      <c r="AV165" s="8"/>
      <c r="AW165" s="8"/>
      <c r="AX165" s="8"/>
      <c r="AY165" s="8"/>
      <c r="AZ165" s="8"/>
      <c r="BA165" s="8"/>
      <c r="BC165" s="8"/>
      <c r="BE165" s="8"/>
      <c r="BF165" s="8"/>
      <c r="BG165" s="8"/>
    </row>
    <row r="166" spans="18:59">
      <c r="R166" s="8"/>
      <c r="S166" s="8"/>
      <c r="W166" s="8"/>
      <c r="X166" s="8"/>
      <c r="AE166" s="8"/>
      <c r="AF166" s="8"/>
      <c r="AV166" s="8"/>
      <c r="AW166" s="8"/>
      <c r="AX166" s="8"/>
      <c r="AY166" s="8"/>
      <c r="AZ166" s="8"/>
      <c r="BA166" s="8"/>
      <c r="BC166" s="8"/>
      <c r="BE166" s="8"/>
      <c r="BF166" s="8"/>
      <c r="BG166" s="8"/>
    </row>
    <row r="167" spans="18:59">
      <c r="R167" s="8"/>
      <c r="S167" s="8"/>
      <c r="W167" s="8"/>
      <c r="X167" s="8"/>
      <c r="AE167" s="8"/>
      <c r="AF167" s="8"/>
      <c r="AV167" s="8"/>
      <c r="AW167" s="8"/>
      <c r="AX167" s="8"/>
      <c r="AY167" s="8"/>
      <c r="AZ167" s="8"/>
      <c r="BA167" s="8"/>
      <c r="BC167" s="8"/>
      <c r="BE167" s="8"/>
      <c r="BF167" s="8"/>
      <c r="BG167" s="8"/>
    </row>
    <row r="168" spans="18:59">
      <c r="R168" s="8"/>
      <c r="S168" s="8"/>
      <c r="W168" s="8"/>
      <c r="X168" s="8"/>
      <c r="AE168" s="8"/>
      <c r="AF168" s="8"/>
      <c r="AV168" s="8"/>
      <c r="AW168" s="8"/>
      <c r="AX168" s="8"/>
      <c r="AY168" s="8"/>
      <c r="AZ168" s="8"/>
      <c r="BA168" s="8"/>
      <c r="BC168" s="8"/>
      <c r="BE168" s="8"/>
      <c r="BF168" s="8"/>
      <c r="BG168" s="8"/>
    </row>
    <row r="169" spans="18:59">
      <c r="R169" s="8"/>
      <c r="S169" s="8"/>
      <c r="W169" s="8"/>
      <c r="X169" s="8"/>
      <c r="AE169" s="8"/>
      <c r="AF169" s="8"/>
      <c r="AV169" s="8"/>
      <c r="AW169" s="8"/>
      <c r="AX169" s="8"/>
      <c r="AY169" s="8"/>
      <c r="AZ169" s="8"/>
      <c r="BA169" s="8"/>
      <c r="BC169" s="8"/>
      <c r="BE169" s="8"/>
      <c r="BF169" s="8"/>
      <c r="BG169" s="8"/>
    </row>
    <row r="170" spans="18:59">
      <c r="R170" s="8"/>
      <c r="S170" s="8"/>
      <c r="W170" s="8"/>
      <c r="X170" s="8"/>
      <c r="AE170" s="8"/>
      <c r="AF170" s="8"/>
      <c r="AV170" s="8"/>
      <c r="AW170" s="8"/>
      <c r="AX170" s="8"/>
      <c r="AY170" s="8"/>
      <c r="AZ170" s="8"/>
      <c r="BA170" s="8"/>
      <c r="BC170" s="8"/>
      <c r="BE170" s="8"/>
      <c r="BF170" s="8"/>
      <c r="BG170" s="8"/>
    </row>
    <row r="171" spans="18:59">
      <c r="R171" s="8"/>
      <c r="S171" s="8"/>
      <c r="W171" s="8"/>
      <c r="X171" s="8"/>
      <c r="AE171" s="8"/>
      <c r="AF171" s="8"/>
      <c r="AV171" s="8"/>
      <c r="AW171" s="8"/>
      <c r="AX171" s="8"/>
      <c r="AY171" s="8"/>
      <c r="AZ171" s="8"/>
      <c r="BA171" s="8"/>
      <c r="BC171" s="8"/>
      <c r="BE171" s="8"/>
      <c r="BF171" s="8"/>
      <c r="BG171" s="8"/>
    </row>
    <row r="172" spans="18:59">
      <c r="R172" s="8"/>
      <c r="S172" s="8"/>
      <c r="W172" s="8"/>
      <c r="X172" s="8"/>
      <c r="AE172" s="8"/>
      <c r="AF172" s="8"/>
      <c r="AV172" s="8"/>
      <c r="AW172" s="8"/>
      <c r="AX172" s="8"/>
      <c r="AY172" s="8"/>
      <c r="AZ172" s="8"/>
      <c r="BA172" s="8"/>
      <c r="BC172" s="8"/>
      <c r="BE172" s="8"/>
      <c r="BF172" s="8"/>
      <c r="BG172" s="8"/>
    </row>
    <row r="173" spans="18:59">
      <c r="R173" s="8"/>
      <c r="S173" s="8"/>
      <c r="W173" s="8"/>
      <c r="X173" s="8"/>
      <c r="AE173" s="8"/>
      <c r="AF173" s="8"/>
      <c r="AV173" s="8"/>
      <c r="AW173" s="8"/>
      <c r="AX173" s="8"/>
      <c r="AY173" s="8"/>
      <c r="AZ173" s="8"/>
      <c r="BA173" s="8"/>
      <c r="BC173" s="8"/>
      <c r="BE173" s="8"/>
      <c r="BF173" s="8"/>
      <c r="BG173" s="8"/>
    </row>
    <row r="174" spans="18:59">
      <c r="R174" s="8"/>
      <c r="S174" s="8"/>
      <c r="W174" s="8"/>
      <c r="X174" s="8"/>
      <c r="AE174" s="8"/>
      <c r="AF174" s="8"/>
      <c r="AV174" s="8"/>
      <c r="AW174" s="8"/>
      <c r="AX174" s="8"/>
      <c r="AY174" s="8"/>
      <c r="AZ174" s="8"/>
      <c r="BA174" s="8"/>
      <c r="BC174" s="8"/>
      <c r="BE174" s="8"/>
      <c r="BF174" s="8"/>
      <c r="BG174" s="8"/>
    </row>
    <row r="175" spans="18:59">
      <c r="R175" s="8"/>
      <c r="S175" s="8"/>
      <c r="W175" s="8"/>
      <c r="X175" s="8"/>
      <c r="AE175" s="8"/>
      <c r="AF175" s="8"/>
      <c r="AV175" s="8"/>
      <c r="AW175" s="8"/>
      <c r="AX175" s="8"/>
      <c r="AY175" s="8"/>
      <c r="AZ175" s="8"/>
      <c r="BA175" s="8"/>
      <c r="BC175" s="8"/>
      <c r="BE175" s="8"/>
      <c r="BF175" s="8"/>
      <c r="BG175" s="8"/>
    </row>
    <row r="176" spans="18:59">
      <c r="R176" s="8"/>
      <c r="S176" s="8"/>
      <c r="W176" s="8"/>
      <c r="X176" s="8"/>
      <c r="AE176" s="8"/>
      <c r="AF176" s="8"/>
      <c r="AV176" s="8"/>
      <c r="AW176" s="8"/>
      <c r="AX176" s="8"/>
      <c r="AY176" s="8"/>
      <c r="AZ176" s="8"/>
      <c r="BA176" s="8"/>
      <c r="BC176" s="8"/>
      <c r="BE176" s="8"/>
      <c r="BF176" s="8"/>
      <c r="BG176" s="8"/>
    </row>
    <row r="177" spans="18:59">
      <c r="R177" s="8"/>
      <c r="S177" s="8"/>
      <c r="W177" s="8"/>
      <c r="X177" s="8"/>
      <c r="AE177" s="8"/>
      <c r="AF177" s="8"/>
      <c r="AV177" s="8"/>
      <c r="AW177" s="8"/>
      <c r="AX177" s="8"/>
      <c r="AY177" s="8"/>
      <c r="AZ177" s="8"/>
      <c r="BA177" s="8"/>
      <c r="BC177" s="8"/>
      <c r="BE177" s="8"/>
      <c r="BF177" s="8"/>
      <c r="BG177" s="8"/>
    </row>
    <row r="178" spans="18:59">
      <c r="R178" s="8"/>
      <c r="S178" s="8"/>
      <c r="W178" s="8"/>
      <c r="X178" s="8"/>
      <c r="AE178" s="8"/>
      <c r="AF178" s="8"/>
      <c r="AV178" s="8"/>
      <c r="AW178" s="8"/>
      <c r="AX178" s="8"/>
      <c r="AY178" s="8"/>
      <c r="AZ178" s="8"/>
      <c r="BA178" s="8"/>
      <c r="BC178" s="8"/>
      <c r="BE178" s="8"/>
      <c r="BF178" s="8"/>
      <c r="BG178" s="8"/>
    </row>
    <row r="179" spans="18:59">
      <c r="R179" s="8"/>
      <c r="S179" s="8"/>
      <c r="W179" s="8"/>
      <c r="X179" s="8"/>
      <c r="AE179" s="8"/>
      <c r="AF179" s="8"/>
      <c r="AV179" s="8"/>
      <c r="AW179" s="8"/>
      <c r="AX179" s="8"/>
      <c r="AY179" s="8"/>
      <c r="AZ179" s="8"/>
      <c r="BA179" s="8"/>
      <c r="BC179" s="8"/>
      <c r="BE179" s="8"/>
      <c r="BF179" s="8"/>
      <c r="BG179" s="8"/>
    </row>
    <row r="180" spans="18:59">
      <c r="R180" s="8"/>
      <c r="S180" s="8"/>
      <c r="W180" s="8"/>
      <c r="X180" s="8"/>
      <c r="AE180" s="8"/>
      <c r="AF180" s="8"/>
      <c r="AV180" s="8"/>
      <c r="AW180" s="8"/>
      <c r="AX180" s="8"/>
      <c r="AY180" s="8"/>
      <c r="AZ180" s="8"/>
      <c r="BA180" s="8"/>
      <c r="BC180" s="8"/>
      <c r="BE180" s="8"/>
      <c r="BF180" s="8"/>
      <c r="BG180" s="8"/>
    </row>
    <row r="181" spans="18:59">
      <c r="R181" s="8"/>
      <c r="S181" s="8"/>
      <c r="W181" s="8"/>
      <c r="X181" s="8"/>
      <c r="AE181" s="8"/>
      <c r="AF181" s="8"/>
      <c r="AV181" s="8"/>
      <c r="AW181" s="8"/>
      <c r="AX181" s="8"/>
      <c r="AY181" s="8"/>
      <c r="AZ181" s="8"/>
      <c r="BA181" s="8"/>
      <c r="BC181" s="8"/>
      <c r="BE181" s="8"/>
      <c r="BF181" s="8"/>
      <c r="BG181" s="8"/>
    </row>
    <row r="182" spans="18:59">
      <c r="R182" s="8"/>
      <c r="S182" s="8"/>
      <c r="W182" s="8"/>
      <c r="X182" s="8"/>
      <c r="AE182" s="8"/>
      <c r="AF182" s="8"/>
      <c r="AV182" s="8"/>
      <c r="AW182" s="8"/>
      <c r="AX182" s="8"/>
      <c r="AY182" s="8"/>
      <c r="AZ182" s="8"/>
      <c r="BA182" s="8"/>
      <c r="BC182" s="8"/>
      <c r="BE182" s="8"/>
      <c r="BF182" s="8"/>
      <c r="BG182" s="8"/>
    </row>
    <row r="183" spans="18:59">
      <c r="R183" s="8"/>
      <c r="S183" s="8"/>
      <c r="W183" s="8"/>
      <c r="X183" s="8"/>
      <c r="AE183" s="8"/>
      <c r="AF183" s="8"/>
      <c r="AV183" s="8"/>
      <c r="AW183" s="8"/>
      <c r="AX183" s="8"/>
      <c r="AY183" s="8"/>
      <c r="AZ183" s="8"/>
      <c r="BA183" s="8"/>
      <c r="BC183" s="8"/>
      <c r="BE183" s="8"/>
      <c r="BF183" s="8"/>
      <c r="BG183" s="8"/>
    </row>
    <row r="184" spans="18:59">
      <c r="R184" s="8"/>
      <c r="S184" s="8"/>
      <c r="W184" s="8"/>
      <c r="X184" s="8"/>
      <c r="AE184" s="8"/>
      <c r="AF184" s="8"/>
      <c r="AV184" s="8"/>
      <c r="AW184" s="8"/>
      <c r="AX184" s="8"/>
      <c r="AY184" s="8"/>
      <c r="AZ184" s="8"/>
      <c r="BA184" s="8"/>
      <c r="BC184" s="8"/>
      <c r="BE184" s="8"/>
      <c r="BF184" s="8"/>
      <c r="BG184" s="8"/>
    </row>
    <row r="185" spans="18:59">
      <c r="R185" s="8"/>
      <c r="S185" s="8"/>
      <c r="W185" s="8"/>
      <c r="X185" s="8"/>
      <c r="AE185" s="8"/>
      <c r="AF185" s="8"/>
      <c r="AV185" s="8"/>
      <c r="AW185" s="8"/>
      <c r="AX185" s="8"/>
      <c r="AY185" s="8"/>
      <c r="AZ185" s="8"/>
      <c r="BA185" s="8"/>
      <c r="BC185" s="8"/>
      <c r="BE185" s="8"/>
      <c r="BF185" s="8"/>
      <c r="BG185" s="8"/>
    </row>
    <row r="186" spans="18:59">
      <c r="R186" s="8"/>
      <c r="S186" s="8"/>
      <c r="W186" s="8"/>
      <c r="X186" s="8"/>
      <c r="AE186" s="8"/>
      <c r="AF186" s="8"/>
      <c r="AV186" s="8"/>
      <c r="AW186" s="8"/>
      <c r="AX186" s="8"/>
      <c r="AY186" s="8"/>
      <c r="AZ186" s="8"/>
      <c r="BA186" s="8"/>
      <c r="BC186" s="8"/>
      <c r="BE186" s="8"/>
      <c r="BF186" s="8"/>
      <c r="BG186" s="8"/>
    </row>
    <row r="187" spans="18:59">
      <c r="R187" s="8"/>
      <c r="S187" s="8"/>
      <c r="W187" s="8"/>
      <c r="X187" s="8"/>
      <c r="AE187" s="8"/>
      <c r="AF187" s="8"/>
      <c r="AV187" s="8"/>
      <c r="AW187" s="8"/>
      <c r="AX187" s="8"/>
      <c r="AY187" s="8"/>
      <c r="AZ187" s="8"/>
      <c r="BA187" s="8"/>
      <c r="BC187" s="8"/>
      <c r="BE187" s="8"/>
      <c r="BF187" s="8"/>
      <c r="BG187" s="8"/>
    </row>
    <row r="188" spans="18:59">
      <c r="R188" s="8"/>
      <c r="S188" s="8"/>
      <c r="W188" s="8"/>
      <c r="X188" s="8"/>
      <c r="AE188" s="8"/>
      <c r="AF188" s="8"/>
      <c r="AV188" s="8"/>
      <c r="AW188" s="8"/>
      <c r="AX188" s="8"/>
      <c r="AY188" s="8"/>
      <c r="AZ188" s="8"/>
      <c r="BA188" s="8"/>
      <c r="BC188" s="8"/>
      <c r="BE188" s="8"/>
      <c r="BF188" s="8"/>
      <c r="BG188" s="8"/>
    </row>
    <row r="189" spans="18:59">
      <c r="R189" s="8"/>
      <c r="S189" s="8"/>
      <c r="W189" s="8"/>
      <c r="X189" s="8"/>
      <c r="AE189" s="8"/>
      <c r="AF189" s="8"/>
      <c r="AV189" s="8"/>
      <c r="AW189" s="8"/>
      <c r="AX189" s="8"/>
      <c r="AY189" s="8"/>
      <c r="AZ189" s="8"/>
      <c r="BA189" s="8"/>
      <c r="BC189" s="8"/>
      <c r="BE189" s="8"/>
      <c r="BF189" s="8"/>
      <c r="BG189" s="8"/>
    </row>
    <row r="190" spans="18:59">
      <c r="R190" s="8"/>
      <c r="S190" s="8"/>
      <c r="W190" s="8"/>
      <c r="X190" s="8"/>
      <c r="AE190" s="8"/>
      <c r="AF190" s="8"/>
      <c r="AV190" s="8"/>
      <c r="AW190" s="8"/>
      <c r="AX190" s="8"/>
      <c r="AY190" s="8"/>
      <c r="AZ190" s="8"/>
      <c r="BA190" s="8"/>
      <c r="BC190" s="8"/>
      <c r="BE190" s="8"/>
      <c r="BF190" s="8"/>
      <c r="BG190" s="8"/>
    </row>
    <row r="191" spans="18:59">
      <c r="R191" s="8"/>
      <c r="S191" s="8"/>
      <c r="W191" s="8"/>
      <c r="X191" s="8"/>
      <c r="AE191" s="8"/>
      <c r="AF191" s="8"/>
      <c r="AV191" s="8"/>
      <c r="AW191" s="8"/>
      <c r="AX191" s="8"/>
      <c r="AY191" s="8"/>
      <c r="AZ191" s="8"/>
      <c r="BA191" s="8"/>
      <c r="BC191" s="8"/>
      <c r="BE191" s="8"/>
      <c r="BF191" s="8"/>
      <c r="BG191" s="8"/>
    </row>
    <row r="192" spans="18:59">
      <c r="R192" s="8"/>
      <c r="S192" s="8"/>
      <c r="W192" s="8"/>
      <c r="X192" s="8"/>
      <c r="AE192" s="8"/>
      <c r="AF192" s="8"/>
      <c r="AV192" s="8"/>
      <c r="AW192" s="8"/>
      <c r="AX192" s="8"/>
      <c r="AY192" s="8"/>
      <c r="AZ192" s="8"/>
      <c r="BA192" s="8"/>
      <c r="BC192" s="8"/>
      <c r="BE192" s="8"/>
      <c r="BF192" s="8"/>
      <c r="BG192" s="8"/>
    </row>
    <row r="193" spans="18:59">
      <c r="R193" s="8"/>
      <c r="S193" s="8"/>
      <c r="W193" s="8"/>
      <c r="X193" s="8"/>
      <c r="AE193" s="8"/>
      <c r="AF193" s="8"/>
      <c r="AV193" s="8"/>
      <c r="AW193" s="8"/>
      <c r="AX193" s="8"/>
      <c r="AY193" s="8"/>
      <c r="AZ193" s="8"/>
      <c r="BA193" s="8"/>
      <c r="BC193" s="8"/>
      <c r="BE193" s="8"/>
      <c r="BF193" s="8"/>
      <c r="BG193" s="8"/>
    </row>
    <row r="194" spans="18:59">
      <c r="R194" s="8"/>
      <c r="S194" s="8"/>
      <c r="W194" s="8"/>
      <c r="X194" s="8"/>
      <c r="AE194" s="8"/>
      <c r="AF194" s="8"/>
      <c r="AV194" s="8"/>
      <c r="AW194" s="8"/>
      <c r="AX194" s="8"/>
      <c r="AY194" s="8"/>
      <c r="AZ194" s="8"/>
      <c r="BA194" s="8"/>
      <c r="BC194" s="8"/>
      <c r="BE194" s="8"/>
      <c r="BF194" s="8"/>
      <c r="BG194" s="8"/>
    </row>
    <row r="195" spans="18:59">
      <c r="R195" s="8"/>
      <c r="S195" s="8"/>
      <c r="W195" s="8"/>
      <c r="X195" s="8"/>
      <c r="AE195" s="8"/>
      <c r="AF195" s="8"/>
      <c r="AV195" s="8"/>
      <c r="AW195" s="8"/>
      <c r="AX195" s="8"/>
      <c r="AY195" s="8"/>
      <c r="AZ195" s="8"/>
      <c r="BA195" s="8"/>
      <c r="BC195" s="8"/>
      <c r="BE195" s="8"/>
      <c r="BF195" s="8"/>
      <c r="BG195" s="8"/>
    </row>
    <row r="196" spans="18:59">
      <c r="R196" s="8"/>
      <c r="S196" s="8"/>
      <c r="W196" s="8"/>
      <c r="X196" s="8"/>
      <c r="AE196" s="8"/>
      <c r="AF196" s="8"/>
      <c r="AV196" s="8"/>
      <c r="AW196" s="8"/>
      <c r="AX196" s="8"/>
      <c r="AY196" s="8"/>
      <c r="AZ196" s="8"/>
      <c r="BA196" s="8"/>
      <c r="BC196" s="8"/>
      <c r="BE196" s="8"/>
      <c r="BF196" s="8"/>
      <c r="BG196" s="8"/>
    </row>
    <row r="197" spans="18:59">
      <c r="R197" s="8"/>
      <c r="S197" s="8"/>
      <c r="W197" s="8"/>
      <c r="X197" s="8"/>
      <c r="AE197" s="8"/>
      <c r="AF197" s="8"/>
      <c r="AV197" s="8"/>
      <c r="AW197" s="8"/>
      <c r="AX197" s="8"/>
      <c r="AY197" s="8"/>
      <c r="AZ197" s="8"/>
      <c r="BA197" s="8"/>
      <c r="BC197" s="8"/>
      <c r="BE197" s="8"/>
      <c r="BF197" s="8"/>
      <c r="BG197" s="8"/>
    </row>
    <row r="198" spans="18:59">
      <c r="R198" s="8"/>
      <c r="S198" s="8"/>
      <c r="W198" s="8"/>
      <c r="X198" s="8"/>
      <c r="AE198" s="8"/>
      <c r="AF198" s="8"/>
      <c r="AV198" s="8"/>
      <c r="AW198" s="8"/>
      <c r="AX198" s="8"/>
      <c r="AY198" s="8"/>
      <c r="AZ198" s="8"/>
      <c r="BA198" s="8"/>
      <c r="BC198" s="8"/>
      <c r="BE198" s="8"/>
      <c r="BF198" s="8"/>
      <c r="BG198" s="8"/>
    </row>
    <row r="199" spans="18:59">
      <c r="R199" s="8"/>
      <c r="S199" s="8"/>
      <c r="W199" s="8"/>
      <c r="X199" s="8"/>
      <c r="AE199" s="8"/>
      <c r="AF199" s="8"/>
      <c r="AV199" s="8"/>
      <c r="AW199" s="8"/>
      <c r="AX199" s="8"/>
      <c r="AY199" s="8"/>
      <c r="AZ199" s="8"/>
      <c r="BA199" s="8"/>
      <c r="BC199" s="8"/>
      <c r="BE199" s="8"/>
      <c r="BF199" s="8"/>
      <c r="BG199" s="8"/>
    </row>
    <row r="200" spans="18:59">
      <c r="R200" s="8"/>
      <c r="S200" s="8"/>
      <c r="W200" s="8"/>
      <c r="X200" s="8"/>
      <c r="AE200" s="8"/>
      <c r="AF200" s="8"/>
      <c r="AV200" s="8"/>
      <c r="AW200" s="8"/>
      <c r="AX200" s="8"/>
      <c r="AY200" s="8"/>
      <c r="AZ200" s="8"/>
      <c r="BA200" s="8"/>
      <c r="BC200" s="8"/>
      <c r="BE200" s="8"/>
      <c r="BF200" s="8"/>
      <c r="BG200" s="8"/>
    </row>
    <row r="201" spans="18:59">
      <c r="R201" s="8"/>
      <c r="S201" s="8"/>
      <c r="W201" s="8"/>
      <c r="X201" s="8"/>
      <c r="AE201" s="8"/>
      <c r="AF201" s="8"/>
      <c r="AV201" s="8"/>
      <c r="AW201" s="8"/>
      <c r="AX201" s="8"/>
      <c r="AY201" s="8"/>
      <c r="AZ201" s="8"/>
      <c r="BA201" s="8"/>
      <c r="BC201" s="8"/>
      <c r="BE201" s="8"/>
      <c r="BF201" s="8"/>
      <c r="BG201" s="8"/>
    </row>
    <row r="202" spans="18:59">
      <c r="R202" s="8"/>
      <c r="S202" s="8"/>
      <c r="W202" s="8"/>
      <c r="X202" s="8"/>
      <c r="AE202" s="8"/>
      <c r="AF202" s="8"/>
      <c r="AV202" s="8"/>
      <c r="AW202" s="8"/>
      <c r="AX202" s="8"/>
      <c r="AY202" s="8"/>
      <c r="AZ202" s="8"/>
      <c r="BA202" s="8"/>
      <c r="BC202" s="8"/>
      <c r="BE202" s="8"/>
      <c r="BF202" s="8"/>
      <c r="BG202" s="8"/>
    </row>
    <row r="203" spans="18:59">
      <c r="R203" s="8"/>
      <c r="S203" s="8"/>
      <c r="W203" s="8"/>
      <c r="X203" s="8"/>
      <c r="AE203" s="8"/>
      <c r="AF203" s="8"/>
      <c r="AV203" s="8"/>
      <c r="AW203" s="8"/>
      <c r="AX203" s="8"/>
      <c r="AY203" s="8"/>
      <c r="AZ203" s="8"/>
      <c r="BA203" s="8"/>
      <c r="BC203" s="8"/>
      <c r="BE203" s="8"/>
      <c r="BF203" s="8"/>
      <c r="BG203" s="8"/>
    </row>
    <row r="204" spans="18:59">
      <c r="R204" s="8"/>
      <c r="S204" s="8"/>
      <c r="W204" s="8"/>
      <c r="X204" s="8"/>
      <c r="AE204" s="8"/>
      <c r="AF204" s="8"/>
      <c r="AV204" s="8"/>
      <c r="AW204" s="8"/>
      <c r="AX204" s="8"/>
      <c r="AY204" s="8"/>
      <c r="AZ204" s="8"/>
      <c r="BA204" s="8"/>
      <c r="BC204" s="8"/>
      <c r="BE204" s="8"/>
      <c r="BF204" s="8"/>
      <c r="BG204" s="8"/>
    </row>
    <row r="205" spans="18:59">
      <c r="R205" s="8"/>
      <c r="S205" s="8"/>
      <c r="W205" s="8"/>
      <c r="X205" s="8"/>
      <c r="AE205" s="8"/>
      <c r="AF205" s="8"/>
      <c r="AV205" s="8"/>
      <c r="AW205" s="8"/>
      <c r="AX205" s="8"/>
      <c r="AY205" s="8"/>
      <c r="AZ205" s="8"/>
      <c r="BA205" s="8"/>
      <c r="BC205" s="8"/>
      <c r="BE205" s="8"/>
      <c r="BF205" s="8"/>
      <c r="BG205" s="8"/>
    </row>
    <row r="206" spans="18:59">
      <c r="R206" s="8"/>
      <c r="S206" s="8"/>
      <c r="W206" s="8"/>
      <c r="X206" s="8"/>
      <c r="AE206" s="8"/>
      <c r="AF206" s="8"/>
      <c r="AV206" s="8"/>
      <c r="AW206" s="8"/>
      <c r="AX206" s="8"/>
      <c r="AY206" s="8"/>
      <c r="AZ206" s="8"/>
      <c r="BA206" s="8"/>
      <c r="BC206" s="8"/>
      <c r="BE206" s="8"/>
      <c r="BF206" s="8"/>
      <c r="BG206" s="8"/>
    </row>
    <row r="207" spans="18:59">
      <c r="R207" s="8"/>
      <c r="S207" s="8"/>
      <c r="W207" s="8"/>
      <c r="X207" s="8"/>
      <c r="AE207" s="8"/>
      <c r="AF207" s="8"/>
      <c r="AV207" s="8"/>
      <c r="AW207" s="8"/>
      <c r="AX207" s="8"/>
      <c r="AY207" s="8"/>
      <c r="AZ207" s="8"/>
      <c r="BA207" s="8"/>
      <c r="BC207" s="8"/>
      <c r="BE207" s="8"/>
      <c r="BF207" s="8"/>
      <c r="BG207" s="8"/>
    </row>
    <row r="208" spans="18:59">
      <c r="R208" s="8"/>
      <c r="S208" s="8"/>
      <c r="W208" s="8"/>
      <c r="X208" s="8"/>
      <c r="AE208" s="8"/>
      <c r="AF208" s="8"/>
      <c r="AV208" s="8"/>
      <c r="AW208" s="8"/>
      <c r="AX208" s="8"/>
      <c r="AY208" s="8"/>
      <c r="AZ208" s="8"/>
      <c r="BA208" s="8"/>
      <c r="BC208" s="8"/>
      <c r="BE208" s="8"/>
      <c r="BF208" s="8"/>
      <c r="BG208" s="8"/>
    </row>
    <row r="209" spans="18:59">
      <c r="R209" s="8"/>
      <c r="S209" s="8"/>
      <c r="W209" s="8"/>
      <c r="X209" s="8"/>
      <c r="AE209" s="8"/>
      <c r="AF209" s="8"/>
      <c r="AV209" s="8"/>
      <c r="AW209" s="8"/>
      <c r="AX209" s="8"/>
      <c r="AY209" s="8"/>
      <c r="AZ209" s="8"/>
      <c r="BA209" s="8"/>
      <c r="BC209" s="8"/>
      <c r="BE209" s="8"/>
      <c r="BF209" s="8"/>
      <c r="BG209" s="8"/>
    </row>
    <row r="210" spans="18:59">
      <c r="R210" s="8"/>
      <c r="S210" s="8"/>
      <c r="W210" s="8"/>
      <c r="X210" s="8"/>
      <c r="AE210" s="8"/>
      <c r="AF210" s="8"/>
      <c r="AV210" s="8"/>
      <c r="AW210" s="8"/>
      <c r="AX210" s="8"/>
      <c r="AY210" s="8"/>
      <c r="AZ210" s="8"/>
      <c r="BA210" s="8"/>
      <c r="BC210" s="8"/>
      <c r="BE210" s="8"/>
      <c r="BF210" s="8"/>
      <c r="BG210" s="8"/>
    </row>
    <row r="211" spans="18:59">
      <c r="R211" s="8"/>
      <c r="S211" s="8"/>
      <c r="W211" s="8"/>
      <c r="X211" s="8"/>
      <c r="AE211" s="8"/>
      <c r="AF211" s="8"/>
      <c r="AV211" s="8"/>
      <c r="AW211" s="8"/>
      <c r="AX211" s="8"/>
      <c r="AY211" s="8"/>
      <c r="AZ211" s="8"/>
      <c r="BA211" s="8"/>
      <c r="BC211" s="8"/>
      <c r="BE211" s="8"/>
      <c r="BF211" s="8"/>
      <c r="BG211" s="8"/>
    </row>
    <row r="212" spans="18:59">
      <c r="R212" s="8"/>
      <c r="S212" s="8"/>
      <c r="W212" s="8"/>
      <c r="X212" s="8"/>
      <c r="AE212" s="8"/>
      <c r="AF212" s="8"/>
      <c r="AV212" s="8"/>
      <c r="AW212" s="8"/>
      <c r="AX212" s="8"/>
      <c r="AY212" s="8"/>
      <c r="AZ212" s="8"/>
      <c r="BA212" s="8"/>
      <c r="BC212" s="8"/>
      <c r="BE212" s="8"/>
      <c r="BF212" s="8"/>
      <c r="BG212" s="8"/>
    </row>
    <row r="213" spans="18:59">
      <c r="R213" s="8"/>
      <c r="S213" s="8"/>
      <c r="W213" s="8"/>
      <c r="X213" s="8"/>
      <c r="AE213" s="8"/>
      <c r="AF213" s="8"/>
      <c r="AV213" s="8"/>
      <c r="AW213" s="8"/>
      <c r="AX213" s="8"/>
      <c r="AY213" s="8"/>
      <c r="AZ213" s="8"/>
      <c r="BA213" s="8"/>
      <c r="BC213" s="8"/>
      <c r="BE213" s="8"/>
      <c r="BF213" s="8"/>
      <c r="BG213" s="8"/>
    </row>
    <row r="214" spans="18:59">
      <c r="R214" s="8"/>
      <c r="S214" s="8"/>
      <c r="W214" s="8"/>
      <c r="X214" s="8"/>
      <c r="AE214" s="8"/>
      <c r="AF214" s="8"/>
      <c r="AV214" s="8"/>
      <c r="AW214" s="8"/>
      <c r="AX214" s="8"/>
      <c r="AY214" s="8"/>
      <c r="AZ214" s="8"/>
      <c r="BA214" s="8"/>
      <c r="BC214" s="8"/>
      <c r="BE214" s="8"/>
      <c r="BF214" s="8"/>
      <c r="BG214" s="8"/>
    </row>
    <row r="215" spans="18:59">
      <c r="R215" s="8"/>
      <c r="S215" s="8"/>
      <c r="W215" s="8"/>
      <c r="X215" s="8"/>
      <c r="AE215" s="8"/>
      <c r="AF215" s="8"/>
      <c r="AV215" s="8"/>
      <c r="AW215" s="8"/>
      <c r="AX215" s="8"/>
      <c r="AY215" s="8"/>
      <c r="AZ215" s="8"/>
      <c r="BA215" s="8"/>
      <c r="BC215" s="8"/>
      <c r="BE215" s="8"/>
      <c r="BF215" s="8"/>
      <c r="BG215" s="8"/>
    </row>
    <row r="216" spans="18:59">
      <c r="R216" s="8"/>
      <c r="S216" s="8"/>
      <c r="W216" s="8"/>
      <c r="X216" s="8"/>
      <c r="AE216" s="8"/>
      <c r="AF216" s="8"/>
      <c r="AV216" s="8"/>
      <c r="AW216" s="8"/>
      <c r="AX216" s="8"/>
      <c r="AY216" s="8"/>
      <c r="AZ216" s="8"/>
      <c r="BA216" s="8"/>
      <c r="BC216" s="8"/>
      <c r="BE216" s="8"/>
      <c r="BF216" s="8"/>
      <c r="BG216" s="8"/>
    </row>
    <row r="217" spans="18:59">
      <c r="R217" s="8"/>
      <c r="S217" s="8"/>
      <c r="W217" s="8"/>
      <c r="X217" s="8"/>
      <c r="AE217" s="8"/>
      <c r="AF217" s="8"/>
      <c r="AV217" s="8"/>
      <c r="AW217" s="8"/>
      <c r="AX217" s="8"/>
      <c r="AY217" s="8"/>
      <c r="AZ217" s="8"/>
      <c r="BA217" s="8"/>
      <c r="BC217" s="8"/>
      <c r="BE217" s="8"/>
      <c r="BF217" s="8"/>
      <c r="BG217" s="8"/>
    </row>
    <row r="218" spans="18:59">
      <c r="R218" s="8"/>
      <c r="S218" s="8"/>
      <c r="W218" s="8"/>
      <c r="X218" s="8"/>
      <c r="AE218" s="8"/>
      <c r="AF218" s="8"/>
      <c r="AV218" s="8"/>
      <c r="AW218" s="8"/>
      <c r="AX218" s="8"/>
      <c r="AY218" s="8"/>
      <c r="AZ218" s="8"/>
      <c r="BA218" s="8"/>
      <c r="BC218" s="8"/>
      <c r="BE218" s="8"/>
      <c r="BF218" s="8"/>
      <c r="BG218" s="8"/>
    </row>
    <row r="219" spans="18:59">
      <c r="R219" s="8"/>
      <c r="S219" s="8"/>
      <c r="W219" s="8"/>
      <c r="X219" s="8"/>
      <c r="AE219" s="8"/>
      <c r="AF219" s="8"/>
      <c r="AV219" s="8"/>
      <c r="AW219" s="8"/>
      <c r="AX219" s="8"/>
      <c r="AY219" s="8"/>
      <c r="AZ219" s="8"/>
      <c r="BA219" s="8"/>
      <c r="BC219" s="8"/>
      <c r="BE219" s="8"/>
      <c r="BF219" s="8"/>
      <c r="BG219" s="8"/>
    </row>
    <row r="220" spans="18:59">
      <c r="R220" s="8"/>
      <c r="S220" s="8"/>
      <c r="W220" s="8"/>
      <c r="X220" s="8"/>
      <c r="AE220" s="8"/>
      <c r="AF220" s="8"/>
      <c r="AV220" s="8"/>
      <c r="AW220" s="8"/>
      <c r="AX220" s="8"/>
      <c r="AY220" s="8"/>
      <c r="AZ220" s="8"/>
      <c r="BA220" s="8"/>
      <c r="BC220" s="8"/>
      <c r="BE220" s="8"/>
      <c r="BF220" s="8"/>
      <c r="BG220" s="8"/>
    </row>
    <row r="221" spans="18:59">
      <c r="R221" s="8"/>
      <c r="S221" s="8"/>
      <c r="W221" s="8"/>
      <c r="X221" s="8"/>
      <c r="AE221" s="8"/>
      <c r="AF221" s="8"/>
      <c r="AV221" s="8"/>
      <c r="AW221" s="8"/>
      <c r="AX221" s="8"/>
      <c r="AY221" s="8"/>
      <c r="AZ221" s="8"/>
      <c r="BA221" s="8"/>
      <c r="BC221" s="8"/>
      <c r="BE221" s="8"/>
      <c r="BF221" s="8"/>
      <c r="BG221" s="8"/>
    </row>
    <row r="222" spans="18:59">
      <c r="R222" s="8"/>
      <c r="S222" s="8"/>
      <c r="W222" s="8"/>
      <c r="X222" s="8"/>
      <c r="AE222" s="8"/>
      <c r="AF222" s="8"/>
      <c r="AV222" s="8"/>
      <c r="AW222" s="8"/>
      <c r="AX222" s="8"/>
      <c r="AY222" s="8"/>
      <c r="AZ222" s="8"/>
      <c r="BA222" s="8"/>
      <c r="BC222" s="8"/>
      <c r="BE222" s="8"/>
      <c r="BF222" s="8"/>
      <c r="BG222" s="8"/>
    </row>
    <row r="223" spans="18:59">
      <c r="R223" s="8"/>
      <c r="S223" s="8"/>
      <c r="W223" s="8"/>
      <c r="X223" s="8"/>
      <c r="AE223" s="8"/>
      <c r="AF223" s="8"/>
      <c r="AV223" s="8"/>
      <c r="AW223" s="8"/>
      <c r="AX223" s="8"/>
      <c r="AY223" s="8"/>
      <c r="AZ223" s="8"/>
      <c r="BA223" s="8"/>
      <c r="BC223" s="8"/>
      <c r="BE223" s="8"/>
      <c r="BF223" s="8"/>
      <c r="BG223" s="8"/>
    </row>
    <row r="224" spans="18:59">
      <c r="R224" s="8"/>
      <c r="S224" s="8"/>
      <c r="W224" s="8"/>
      <c r="X224" s="8"/>
      <c r="AE224" s="8"/>
      <c r="AF224" s="8"/>
      <c r="AV224" s="8"/>
      <c r="AW224" s="8"/>
      <c r="AX224" s="8"/>
      <c r="AY224" s="8"/>
      <c r="AZ224" s="8"/>
      <c r="BA224" s="8"/>
      <c r="BC224" s="8"/>
      <c r="BE224" s="8"/>
      <c r="BF224" s="8"/>
      <c r="BG224" s="8"/>
    </row>
    <row r="225" spans="18:59">
      <c r="R225" s="8"/>
      <c r="S225" s="8"/>
      <c r="W225" s="8"/>
      <c r="X225" s="8"/>
      <c r="AE225" s="8"/>
      <c r="AF225" s="8"/>
      <c r="AV225" s="8"/>
      <c r="AW225" s="8"/>
      <c r="AX225" s="8"/>
      <c r="AY225" s="8"/>
      <c r="AZ225" s="8"/>
      <c r="BA225" s="8"/>
      <c r="BC225" s="8"/>
      <c r="BE225" s="8"/>
      <c r="BF225" s="8"/>
      <c r="BG225" s="8"/>
    </row>
    <row r="226" spans="18:59">
      <c r="R226" s="8"/>
      <c r="S226" s="8"/>
      <c r="W226" s="8"/>
      <c r="X226" s="8"/>
      <c r="AE226" s="8"/>
      <c r="AF226" s="8"/>
      <c r="AV226" s="8"/>
      <c r="AW226" s="8"/>
      <c r="AX226" s="8"/>
      <c r="AY226" s="8"/>
      <c r="AZ226" s="8"/>
      <c r="BA226" s="8"/>
      <c r="BC226" s="8"/>
      <c r="BE226" s="8"/>
      <c r="BF226" s="8"/>
      <c r="BG226" s="8"/>
    </row>
    <row r="227" spans="18:59">
      <c r="R227" s="8"/>
      <c r="S227" s="8"/>
      <c r="W227" s="8"/>
      <c r="X227" s="8"/>
      <c r="AE227" s="8"/>
      <c r="AF227" s="8"/>
      <c r="AV227" s="8"/>
      <c r="AW227" s="8"/>
      <c r="AX227" s="8"/>
      <c r="AY227" s="8"/>
      <c r="AZ227" s="8"/>
      <c r="BA227" s="8"/>
      <c r="BC227" s="8"/>
      <c r="BE227" s="8"/>
      <c r="BF227" s="8"/>
      <c r="BG227" s="8"/>
    </row>
    <row r="228" spans="18:59">
      <c r="R228" s="8"/>
      <c r="S228" s="8"/>
      <c r="W228" s="8"/>
      <c r="X228" s="8"/>
      <c r="AE228" s="8"/>
      <c r="AF228" s="8"/>
      <c r="AV228" s="8"/>
      <c r="AW228" s="8"/>
      <c r="AX228" s="8"/>
      <c r="AY228" s="8"/>
      <c r="AZ228" s="8"/>
      <c r="BA228" s="8"/>
      <c r="BC228" s="8"/>
      <c r="BE228" s="8"/>
      <c r="BF228" s="8"/>
      <c r="BG228" s="8"/>
    </row>
    <row r="229" spans="18:59">
      <c r="R229" s="8"/>
      <c r="S229" s="8"/>
      <c r="W229" s="8"/>
      <c r="X229" s="8"/>
      <c r="AE229" s="8"/>
      <c r="AF229" s="8"/>
      <c r="AV229" s="8"/>
      <c r="AW229" s="8"/>
      <c r="AX229" s="8"/>
      <c r="AY229" s="8"/>
      <c r="AZ229" s="8"/>
      <c r="BA229" s="8"/>
      <c r="BC229" s="8"/>
      <c r="BE229" s="8"/>
      <c r="BF229" s="8"/>
      <c r="BG229" s="8"/>
    </row>
    <row r="230" spans="18:59">
      <c r="R230" s="8"/>
      <c r="S230" s="8"/>
      <c r="W230" s="8"/>
      <c r="X230" s="8"/>
      <c r="AE230" s="8"/>
      <c r="AF230" s="8"/>
      <c r="AV230" s="8"/>
      <c r="AW230" s="8"/>
      <c r="AX230" s="8"/>
      <c r="AY230" s="8"/>
      <c r="AZ230" s="8"/>
      <c r="BA230" s="8"/>
      <c r="BC230" s="8"/>
      <c r="BE230" s="8"/>
      <c r="BF230" s="8"/>
      <c r="BG230" s="8"/>
    </row>
    <row r="231" spans="18:59">
      <c r="R231" s="8"/>
      <c r="S231" s="8"/>
      <c r="W231" s="8"/>
      <c r="X231" s="8"/>
      <c r="AE231" s="8"/>
      <c r="AF231" s="8"/>
      <c r="AV231" s="8"/>
      <c r="AW231" s="8"/>
      <c r="AX231" s="8"/>
      <c r="AY231" s="8"/>
      <c r="AZ231" s="8"/>
      <c r="BA231" s="8"/>
      <c r="BC231" s="8"/>
      <c r="BE231" s="8"/>
      <c r="BF231" s="8"/>
      <c r="BG231" s="8"/>
    </row>
    <row r="232" spans="18:59">
      <c r="R232" s="8"/>
      <c r="S232" s="8"/>
      <c r="W232" s="8"/>
      <c r="X232" s="8"/>
      <c r="AE232" s="8"/>
      <c r="AF232" s="8"/>
      <c r="AV232" s="8"/>
      <c r="AW232" s="8"/>
      <c r="AX232" s="8"/>
      <c r="AY232" s="8"/>
      <c r="AZ232" s="8"/>
      <c r="BA232" s="8"/>
      <c r="BC232" s="8"/>
      <c r="BE232" s="8"/>
      <c r="BF232" s="8"/>
      <c r="BG232" s="8"/>
    </row>
    <row r="233" spans="18:59">
      <c r="R233" s="8"/>
      <c r="S233" s="8"/>
      <c r="W233" s="8"/>
      <c r="X233" s="8"/>
      <c r="AE233" s="8"/>
      <c r="AF233" s="8"/>
      <c r="AV233" s="8"/>
      <c r="AW233" s="8"/>
      <c r="AX233" s="8"/>
      <c r="AY233" s="8"/>
      <c r="AZ233" s="8"/>
      <c r="BA233" s="8"/>
      <c r="BC233" s="8"/>
      <c r="BE233" s="8"/>
      <c r="BF233" s="8"/>
      <c r="BG233" s="8"/>
    </row>
    <row r="234" spans="18:59">
      <c r="R234" s="8"/>
      <c r="S234" s="8"/>
      <c r="W234" s="8"/>
      <c r="X234" s="8"/>
      <c r="AE234" s="8"/>
      <c r="AF234" s="8"/>
      <c r="AV234" s="8"/>
      <c r="AW234" s="8"/>
      <c r="AX234" s="8"/>
      <c r="AY234" s="8"/>
      <c r="AZ234" s="8"/>
      <c r="BA234" s="8"/>
      <c r="BC234" s="8"/>
      <c r="BE234" s="8"/>
      <c r="BF234" s="8"/>
      <c r="BG234" s="8"/>
    </row>
    <row r="235" spans="18:59">
      <c r="R235" s="8"/>
      <c r="S235" s="8"/>
      <c r="W235" s="8"/>
      <c r="X235" s="8"/>
      <c r="AE235" s="8"/>
      <c r="AF235" s="8"/>
      <c r="AV235" s="8"/>
      <c r="AW235" s="8"/>
      <c r="AX235" s="8"/>
      <c r="AY235" s="8"/>
      <c r="AZ235" s="8"/>
      <c r="BA235" s="8"/>
      <c r="BC235" s="8"/>
      <c r="BE235" s="8"/>
      <c r="BF235" s="8"/>
      <c r="BG235" s="8"/>
    </row>
    <row r="236" spans="18:59">
      <c r="R236" s="8"/>
      <c r="S236" s="8"/>
      <c r="W236" s="8"/>
      <c r="X236" s="8"/>
      <c r="AE236" s="8"/>
      <c r="AF236" s="8"/>
      <c r="AV236" s="8"/>
      <c r="AW236" s="8"/>
      <c r="AX236" s="8"/>
      <c r="AY236" s="8"/>
      <c r="AZ236" s="8"/>
      <c r="BA236" s="8"/>
      <c r="BC236" s="8"/>
      <c r="BE236" s="8"/>
      <c r="BF236" s="8"/>
      <c r="BG236" s="8"/>
    </row>
    <row r="237" spans="18:59">
      <c r="R237" s="8"/>
      <c r="S237" s="8"/>
      <c r="W237" s="8"/>
      <c r="X237" s="8"/>
      <c r="AE237" s="8"/>
      <c r="AF237" s="8"/>
      <c r="AV237" s="8"/>
      <c r="AW237" s="8"/>
      <c r="AX237" s="8"/>
      <c r="AY237" s="8"/>
      <c r="AZ237" s="8"/>
      <c r="BA237" s="8"/>
      <c r="BC237" s="8"/>
      <c r="BE237" s="8"/>
      <c r="BF237" s="8"/>
      <c r="BG237" s="8"/>
    </row>
    <row r="238" spans="18:59">
      <c r="R238" s="8"/>
      <c r="S238" s="8"/>
      <c r="W238" s="8"/>
      <c r="X238" s="8"/>
      <c r="AE238" s="8"/>
      <c r="AF238" s="8"/>
      <c r="AV238" s="8"/>
      <c r="AW238" s="8"/>
      <c r="AX238" s="8"/>
      <c r="AY238" s="8"/>
      <c r="AZ238" s="8"/>
      <c r="BA238" s="8"/>
      <c r="BC238" s="8"/>
      <c r="BE238" s="8"/>
      <c r="BF238" s="8"/>
      <c r="BG238" s="8"/>
    </row>
    <row r="239" spans="18:59">
      <c r="R239" s="8"/>
      <c r="S239" s="8"/>
      <c r="W239" s="8"/>
      <c r="X239" s="8"/>
      <c r="AE239" s="8"/>
      <c r="AF239" s="8"/>
      <c r="AV239" s="8"/>
      <c r="AW239" s="8"/>
      <c r="AX239" s="8"/>
      <c r="AY239" s="8"/>
      <c r="AZ239" s="8"/>
      <c r="BA239" s="8"/>
      <c r="BC239" s="8"/>
      <c r="BE239" s="8"/>
      <c r="BF239" s="8"/>
      <c r="BG239" s="8"/>
    </row>
    <row r="240" spans="18:59">
      <c r="R240" s="8"/>
      <c r="S240" s="8"/>
      <c r="W240" s="8"/>
      <c r="X240" s="8"/>
      <c r="AE240" s="8"/>
      <c r="AF240" s="8"/>
      <c r="AV240" s="8"/>
      <c r="AW240" s="8"/>
      <c r="AX240" s="8"/>
      <c r="AY240" s="8"/>
      <c r="AZ240" s="8"/>
      <c r="BA240" s="8"/>
      <c r="BC240" s="8"/>
      <c r="BE240" s="8"/>
      <c r="BF240" s="8"/>
      <c r="BG240" s="8"/>
    </row>
    <row r="241" spans="18:59">
      <c r="R241" s="8"/>
      <c r="S241" s="8"/>
      <c r="W241" s="8"/>
      <c r="X241" s="8"/>
      <c r="AE241" s="8"/>
      <c r="AF241" s="8"/>
      <c r="AV241" s="8"/>
      <c r="AW241" s="8"/>
      <c r="AX241" s="8"/>
      <c r="AY241" s="8"/>
      <c r="AZ241" s="8"/>
      <c r="BA241" s="8"/>
      <c r="BC241" s="8"/>
      <c r="BE241" s="8"/>
      <c r="BF241" s="8"/>
      <c r="BG241" s="8"/>
    </row>
    <row r="242" spans="18:59">
      <c r="R242" s="8"/>
      <c r="S242" s="8"/>
      <c r="W242" s="8"/>
      <c r="X242" s="8"/>
      <c r="AE242" s="8"/>
      <c r="AF242" s="8"/>
      <c r="AV242" s="8"/>
      <c r="AW242" s="8"/>
      <c r="AX242" s="8"/>
      <c r="AY242" s="8"/>
      <c r="AZ242" s="8"/>
      <c r="BA242" s="8"/>
      <c r="BC242" s="8"/>
      <c r="BE242" s="8"/>
      <c r="BF242" s="8"/>
      <c r="BG242" s="8"/>
    </row>
    <row r="243" spans="18:59">
      <c r="R243" s="8"/>
      <c r="S243" s="8"/>
      <c r="W243" s="8"/>
      <c r="X243" s="8"/>
      <c r="AE243" s="8"/>
      <c r="AF243" s="8"/>
      <c r="AV243" s="8"/>
      <c r="AW243" s="8"/>
      <c r="AX243" s="8"/>
      <c r="AY243" s="8"/>
      <c r="AZ243" s="8"/>
      <c r="BA243" s="8"/>
      <c r="BC243" s="8"/>
      <c r="BE243" s="8"/>
      <c r="BF243" s="8"/>
      <c r="BG243" s="8"/>
    </row>
    <row r="244" spans="18:59">
      <c r="R244" s="8"/>
      <c r="S244" s="8"/>
      <c r="W244" s="8"/>
      <c r="X244" s="8"/>
      <c r="AE244" s="8"/>
      <c r="AF244" s="8"/>
      <c r="AV244" s="8"/>
      <c r="AW244" s="8"/>
      <c r="AX244" s="8"/>
      <c r="AY244" s="8"/>
      <c r="AZ244" s="8"/>
      <c r="BA244" s="8"/>
      <c r="BC244" s="8"/>
      <c r="BE244" s="8"/>
      <c r="BF244" s="8"/>
      <c r="BG244" s="8"/>
    </row>
    <row r="245" spans="18:59">
      <c r="R245" s="8"/>
      <c r="S245" s="8"/>
      <c r="W245" s="8"/>
      <c r="X245" s="8"/>
      <c r="AE245" s="8"/>
      <c r="AF245" s="8"/>
      <c r="AV245" s="8"/>
      <c r="AW245" s="8"/>
      <c r="AX245" s="8"/>
      <c r="AY245" s="8"/>
      <c r="AZ245" s="8"/>
      <c r="BA245" s="8"/>
      <c r="BC245" s="8"/>
      <c r="BE245" s="8"/>
      <c r="BF245" s="8"/>
      <c r="BG245" s="8"/>
    </row>
    <row r="246" spans="18:59">
      <c r="R246" s="8"/>
      <c r="S246" s="8"/>
      <c r="W246" s="8"/>
      <c r="X246" s="8"/>
      <c r="AE246" s="8"/>
      <c r="AF246" s="8"/>
      <c r="AV246" s="8"/>
      <c r="AW246" s="8"/>
      <c r="AX246" s="8"/>
      <c r="AY246" s="8"/>
      <c r="AZ246" s="8"/>
      <c r="BA246" s="8"/>
      <c r="BC246" s="8"/>
      <c r="BE246" s="8"/>
      <c r="BF246" s="8"/>
      <c r="BG246" s="8"/>
    </row>
    <row r="247" spans="18:59">
      <c r="R247" s="8"/>
      <c r="S247" s="8"/>
      <c r="W247" s="8"/>
      <c r="X247" s="8"/>
      <c r="AE247" s="8"/>
      <c r="AF247" s="8"/>
      <c r="AV247" s="8"/>
      <c r="AW247" s="8"/>
      <c r="AX247" s="8"/>
      <c r="AY247" s="8"/>
      <c r="AZ247" s="8"/>
      <c r="BA247" s="8"/>
      <c r="BC247" s="8"/>
      <c r="BE247" s="8"/>
      <c r="BF247" s="8"/>
      <c r="BG247" s="8"/>
    </row>
    <row r="248" spans="18:59">
      <c r="R248" s="8"/>
      <c r="S248" s="8"/>
      <c r="W248" s="8"/>
      <c r="X248" s="8"/>
      <c r="AE248" s="8"/>
      <c r="AF248" s="8"/>
      <c r="AV248" s="8"/>
      <c r="AW248" s="8"/>
      <c r="AX248" s="8"/>
      <c r="AY248" s="8"/>
      <c r="AZ248" s="8"/>
      <c r="BA248" s="8"/>
      <c r="BC248" s="8"/>
      <c r="BE248" s="8"/>
      <c r="BF248" s="8"/>
      <c r="BG248" s="8"/>
    </row>
    <row r="249" spans="18:59">
      <c r="R249" s="8"/>
      <c r="S249" s="8"/>
      <c r="W249" s="8"/>
      <c r="X249" s="8"/>
      <c r="AE249" s="8"/>
      <c r="AF249" s="8"/>
      <c r="AV249" s="8"/>
      <c r="AW249" s="8"/>
      <c r="AX249" s="8"/>
      <c r="AY249" s="8"/>
      <c r="AZ249" s="8"/>
      <c r="BA249" s="8"/>
      <c r="BC249" s="8"/>
      <c r="BE249" s="8"/>
      <c r="BF249" s="8"/>
      <c r="BG249" s="8"/>
    </row>
    <row r="250" spans="18:59">
      <c r="R250" s="8"/>
      <c r="S250" s="8"/>
      <c r="W250" s="8"/>
      <c r="X250" s="8"/>
      <c r="AE250" s="8"/>
      <c r="AF250" s="8"/>
      <c r="AV250" s="8"/>
      <c r="AW250" s="8"/>
      <c r="AX250" s="8"/>
      <c r="AY250" s="8"/>
      <c r="AZ250" s="8"/>
      <c r="BA250" s="8"/>
      <c r="BC250" s="8"/>
      <c r="BE250" s="8"/>
      <c r="BF250" s="8"/>
      <c r="BG250" s="8"/>
    </row>
    <row r="251" spans="18:59">
      <c r="R251" s="8"/>
      <c r="S251" s="8"/>
      <c r="W251" s="8"/>
      <c r="X251" s="8"/>
      <c r="AE251" s="8"/>
      <c r="AF251" s="8"/>
      <c r="AV251" s="8"/>
      <c r="AW251" s="8"/>
      <c r="AX251" s="8"/>
      <c r="AY251" s="8"/>
      <c r="AZ251" s="8"/>
      <c r="BA251" s="8"/>
      <c r="BC251" s="8"/>
      <c r="BE251" s="8"/>
      <c r="BF251" s="8"/>
      <c r="BG251" s="8"/>
    </row>
    <row r="252" spans="18:59">
      <c r="R252" s="8"/>
      <c r="S252" s="8"/>
      <c r="W252" s="8"/>
      <c r="X252" s="8"/>
      <c r="AE252" s="8"/>
      <c r="AF252" s="8"/>
      <c r="AV252" s="8"/>
      <c r="AW252" s="8"/>
      <c r="AX252" s="8"/>
      <c r="AY252" s="8"/>
      <c r="AZ252" s="8"/>
      <c r="BA252" s="8"/>
      <c r="BC252" s="8"/>
      <c r="BE252" s="8"/>
      <c r="BF252" s="8"/>
      <c r="BG252" s="8"/>
    </row>
    <row r="253" spans="18:59">
      <c r="R253" s="8"/>
      <c r="S253" s="8"/>
      <c r="W253" s="8"/>
      <c r="X253" s="8"/>
      <c r="AE253" s="8"/>
      <c r="AF253" s="8"/>
      <c r="AV253" s="8"/>
      <c r="AW253" s="8"/>
      <c r="AX253" s="8"/>
      <c r="AY253" s="8"/>
      <c r="AZ253" s="8"/>
      <c r="BA253" s="8"/>
      <c r="BC253" s="8"/>
      <c r="BE253" s="8"/>
      <c r="BF253" s="8"/>
      <c r="BG253" s="8"/>
    </row>
    <row r="254" spans="18:59">
      <c r="R254" s="8"/>
      <c r="S254" s="8"/>
      <c r="W254" s="8"/>
      <c r="X254" s="8"/>
      <c r="AE254" s="8"/>
      <c r="AF254" s="8"/>
      <c r="AV254" s="8"/>
      <c r="AW254" s="8"/>
      <c r="AX254" s="8"/>
      <c r="AY254" s="8"/>
      <c r="AZ254" s="8"/>
      <c r="BA254" s="8"/>
      <c r="BC254" s="8"/>
      <c r="BE254" s="8"/>
      <c r="BF254" s="8"/>
      <c r="BG254" s="8"/>
    </row>
    <row r="255" spans="18:59">
      <c r="R255" s="8"/>
      <c r="S255" s="8"/>
      <c r="W255" s="8"/>
      <c r="X255" s="8"/>
      <c r="AE255" s="8"/>
      <c r="AF255" s="8"/>
      <c r="AV255" s="8"/>
      <c r="AW255" s="8"/>
      <c r="AX255" s="8"/>
      <c r="AY255" s="8"/>
      <c r="AZ255" s="8"/>
      <c r="BA255" s="8"/>
      <c r="BC255" s="8"/>
      <c r="BE255" s="8"/>
      <c r="BF255" s="8"/>
      <c r="BG255" s="8"/>
    </row>
    <row r="256" spans="18:59">
      <c r="R256" s="8"/>
      <c r="S256" s="8"/>
      <c r="W256" s="8"/>
      <c r="X256" s="8"/>
      <c r="AE256" s="8"/>
      <c r="AF256" s="8"/>
      <c r="AV256" s="8"/>
      <c r="AW256" s="8"/>
      <c r="AX256" s="8"/>
      <c r="AY256" s="8"/>
      <c r="AZ256" s="8"/>
      <c r="BA256" s="8"/>
      <c r="BC256" s="8"/>
      <c r="BE256" s="8"/>
      <c r="BF256" s="8"/>
      <c r="BG256" s="8"/>
    </row>
    <row r="257" spans="18:59">
      <c r="R257" s="8"/>
      <c r="S257" s="8"/>
      <c r="W257" s="8"/>
      <c r="X257" s="8"/>
      <c r="AE257" s="8"/>
      <c r="AF257" s="8"/>
      <c r="AV257" s="8"/>
      <c r="AW257" s="8"/>
      <c r="AX257" s="8"/>
      <c r="AY257" s="8"/>
      <c r="AZ257" s="8"/>
      <c r="BA257" s="8"/>
      <c r="BC257" s="8"/>
      <c r="BE257" s="8"/>
      <c r="BF257" s="8"/>
      <c r="BG257" s="8"/>
    </row>
    <row r="258" spans="18:59">
      <c r="R258" s="8"/>
      <c r="S258" s="8"/>
      <c r="W258" s="8"/>
      <c r="X258" s="8"/>
      <c r="AE258" s="8"/>
      <c r="AF258" s="8"/>
      <c r="AV258" s="8"/>
      <c r="AW258" s="8"/>
      <c r="AX258" s="8"/>
      <c r="AY258" s="8"/>
      <c r="AZ258" s="8"/>
      <c r="BA258" s="8"/>
      <c r="BC258" s="8"/>
      <c r="BE258" s="8"/>
      <c r="BF258" s="8"/>
      <c r="BG258" s="8"/>
    </row>
    <row r="259" spans="18:59">
      <c r="R259" s="8"/>
      <c r="S259" s="8"/>
      <c r="W259" s="8"/>
      <c r="X259" s="8"/>
      <c r="AE259" s="8"/>
      <c r="AF259" s="8"/>
      <c r="AV259" s="8"/>
      <c r="AW259" s="8"/>
      <c r="AX259" s="8"/>
      <c r="AY259" s="8"/>
      <c r="AZ259" s="8"/>
      <c r="BA259" s="8"/>
      <c r="BC259" s="8"/>
      <c r="BE259" s="8"/>
      <c r="BF259" s="8"/>
      <c r="BG259" s="8"/>
    </row>
    <row r="260" spans="18:59">
      <c r="R260" s="8"/>
      <c r="S260" s="8"/>
      <c r="W260" s="8"/>
      <c r="X260" s="8"/>
      <c r="AE260" s="8"/>
      <c r="AF260" s="8"/>
      <c r="AV260" s="8"/>
      <c r="AW260" s="8"/>
      <c r="AX260" s="8"/>
      <c r="AY260" s="8"/>
      <c r="AZ260" s="8"/>
      <c r="BA260" s="8"/>
      <c r="BC260" s="8"/>
      <c r="BE260" s="8"/>
      <c r="BF260" s="8"/>
      <c r="BG260" s="8"/>
    </row>
    <row r="261" spans="18:59">
      <c r="R261" s="8"/>
      <c r="S261" s="8"/>
      <c r="W261" s="8"/>
      <c r="X261" s="8"/>
      <c r="AE261" s="8"/>
      <c r="AF261" s="8"/>
      <c r="AV261" s="8"/>
      <c r="AW261" s="8"/>
      <c r="AX261" s="8"/>
      <c r="AY261" s="8"/>
      <c r="AZ261" s="8"/>
      <c r="BA261" s="8"/>
      <c r="BC261" s="8"/>
      <c r="BE261" s="8"/>
      <c r="BF261" s="8"/>
      <c r="BG261" s="8"/>
    </row>
    <row r="262" spans="18:59">
      <c r="R262" s="8"/>
      <c r="S262" s="8"/>
      <c r="W262" s="8"/>
      <c r="X262" s="8"/>
      <c r="AE262" s="8"/>
      <c r="AF262" s="8"/>
      <c r="AV262" s="8"/>
      <c r="AW262" s="8"/>
      <c r="AX262" s="8"/>
      <c r="AY262" s="8"/>
      <c r="AZ262" s="8"/>
      <c r="BA262" s="8"/>
      <c r="BC262" s="8"/>
      <c r="BE262" s="8"/>
      <c r="BF262" s="8"/>
      <c r="BG262" s="8"/>
    </row>
    <row r="263" spans="18:59">
      <c r="R263" s="8"/>
      <c r="S263" s="8"/>
      <c r="W263" s="8"/>
      <c r="X263" s="8"/>
      <c r="AE263" s="8"/>
      <c r="AF263" s="8"/>
      <c r="AV263" s="8"/>
      <c r="AW263" s="8"/>
      <c r="AX263" s="8"/>
      <c r="AY263" s="8"/>
      <c r="AZ263" s="8"/>
      <c r="BA263" s="8"/>
      <c r="BC263" s="8"/>
      <c r="BE263" s="8"/>
      <c r="BF263" s="8"/>
      <c r="BG263" s="8"/>
    </row>
    <row r="264" spans="18:59">
      <c r="R264" s="8"/>
      <c r="S264" s="8"/>
      <c r="W264" s="8"/>
      <c r="X264" s="8"/>
      <c r="AE264" s="8"/>
      <c r="AF264" s="8"/>
      <c r="AV264" s="8"/>
      <c r="AW264" s="8"/>
      <c r="AX264" s="8"/>
      <c r="AY264" s="8"/>
      <c r="AZ264" s="8"/>
      <c r="BA264" s="8"/>
      <c r="BC264" s="8"/>
      <c r="BE264" s="8"/>
      <c r="BF264" s="8"/>
      <c r="BG264" s="8"/>
    </row>
    <row r="265" spans="18:59">
      <c r="R265" s="8"/>
      <c r="S265" s="8"/>
      <c r="W265" s="8"/>
      <c r="X265" s="8"/>
      <c r="AE265" s="8"/>
      <c r="AF265" s="8"/>
      <c r="AV265" s="8"/>
      <c r="AW265" s="8"/>
      <c r="AX265" s="8"/>
      <c r="AY265" s="8"/>
      <c r="AZ265" s="8"/>
      <c r="BA265" s="8"/>
      <c r="BC265" s="8"/>
      <c r="BE265" s="8"/>
      <c r="BF265" s="8"/>
      <c r="BG265" s="8"/>
    </row>
    <row r="266" spans="18:59">
      <c r="R266" s="8"/>
      <c r="S266" s="8"/>
      <c r="W266" s="8"/>
      <c r="X266" s="8"/>
      <c r="AE266" s="8"/>
      <c r="AF266" s="8"/>
      <c r="AV266" s="8"/>
      <c r="AW266" s="8"/>
      <c r="AX266" s="8"/>
      <c r="AY266" s="8"/>
      <c r="AZ266" s="8"/>
      <c r="BA266" s="8"/>
      <c r="BC266" s="8"/>
      <c r="BE266" s="8"/>
      <c r="BF266" s="8"/>
      <c r="BG266" s="8"/>
    </row>
    <row r="267" spans="18:59">
      <c r="R267" s="8"/>
      <c r="S267" s="8"/>
      <c r="W267" s="8"/>
      <c r="X267" s="8"/>
      <c r="AE267" s="8"/>
      <c r="AF267" s="8"/>
      <c r="AV267" s="8"/>
      <c r="AW267" s="8"/>
      <c r="AX267" s="8"/>
      <c r="AY267" s="8"/>
      <c r="AZ267" s="8"/>
      <c r="BA267" s="8"/>
      <c r="BC267" s="8"/>
      <c r="BE267" s="8"/>
      <c r="BF267" s="8"/>
      <c r="BG267" s="8"/>
    </row>
    <row r="268" spans="18:59">
      <c r="R268" s="8"/>
      <c r="S268" s="8"/>
      <c r="W268" s="8"/>
      <c r="X268" s="8"/>
      <c r="AE268" s="8"/>
      <c r="AF268" s="8"/>
      <c r="AV268" s="8"/>
      <c r="AW268" s="8"/>
      <c r="AX268" s="8"/>
      <c r="AY268" s="8"/>
      <c r="AZ268" s="8"/>
      <c r="BA268" s="8"/>
      <c r="BC268" s="8"/>
      <c r="BE268" s="8"/>
      <c r="BF268" s="8"/>
      <c r="BG268" s="8"/>
    </row>
    <row r="269" spans="18:59">
      <c r="R269" s="8"/>
      <c r="S269" s="8"/>
      <c r="W269" s="8"/>
      <c r="X269" s="8"/>
      <c r="AE269" s="8"/>
      <c r="AF269" s="8"/>
      <c r="AV269" s="8"/>
      <c r="AW269" s="8"/>
      <c r="AX269" s="8"/>
      <c r="AY269" s="8"/>
      <c r="AZ269" s="8"/>
      <c r="BA269" s="8"/>
      <c r="BC269" s="8"/>
      <c r="BE269" s="8"/>
      <c r="BF269" s="8"/>
      <c r="BG269" s="8"/>
    </row>
    <row r="270" spans="18:59">
      <c r="R270" s="8"/>
      <c r="S270" s="8"/>
      <c r="W270" s="8"/>
      <c r="X270" s="8"/>
      <c r="AE270" s="8"/>
      <c r="AF270" s="8"/>
      <c r="AV270" s="8"/>
      <c r="AW270" s="8"/>
      <c r="AX270" s="8"/>
      <c r="AY270" s="8"/>
      <c r="AZ270" s="8"/>
      <c r="BA270" s="8"/>
      <c r="BC270" s="8"/>
      <c r="BE270" s="8"/>
      <c r="BF270" s="8"/>
      <c r="BG270" s="8"/>
    </row>
    <row r="271" spans="18:59">
      <c r="R271" s="8"/>
      <c r="S271" s="8"/>
      <c r="W271" s="8"/>
      <c r="X271" s="8"/>
      <c r="AE271" s="8"/>
      <c r="AF271" s="8"/>
      <c r="AV271" s="8"/>
      <c r="AW271" s="8"/>
      <c r="AX271" s="8"/>
      <c r="AY271" s="8"/>
      <c r="AZ271" s="8"/>
      <c r="BA271" s="8"/>
      <c r="BC271" s="8"/>
      <c r="BE271" s="8"/>
      <c r="BF271" s="8"/>
      <c r="BG271" s="8"/>
    </row>
    <row r="272" spans="18:59">
      <c r="R272" s="8"/>
      <c r="S272" s="8"/>
      <c r="W272" s="8"/>
      <c r="X272" s="8"/>
      <c r="AE272" s="8"/>
      <c r="AF272" s="8"/>
      <c r="AV272" s="8"/>
      <c r="AW272" s="8"/>
      <c r="AX272" s="8"/>
      <c r="AY272" s="8"/>
      <c r="AZ272" s="8"/>
      <c r="BA272" s="8"/>
      <c r="BC272" s="8"/>
      <c r="BE272" s="8"/>
      <c r="BF272" s="8"/>
      <c r="BG272" s="8"/>
    </row>
    <row r="273" spans="18:59">
      <c r="R273" s="8"/>
      <c r="S273" s="8"/>
      <c r="W273" s="8"/>
      <c r="X273" s="8"/>
      <c r="AE273" s="8"/>
      <c r="AF273" s="8"/>
      <c r="AV273" s="8"/>
      <c r="AW273" s="8"/>
      <c r="AX273" s="8"/>
      <c r="AY273" s="8"/>
      <c r="AZ273" s="8"/>
      <c r="BA273" s="8"/>
      <c r="BC273" s="8"/>
      <c r="BE273" s="8"/>
      <c r="BF273" s="8"/>
      <c r="BG273" s="8"/>
    </row>
    <row r="274" spans="18:59">
      <c r="R274" s="8"/>
      <c r="S274" s="8"/>
      <c r="W274" s="8"/>
      <c r="X274" s="8"/>
      <c r="AE274" s="8"/>
      <c r="AF274" s="8"/>
      <c r="AV274" s="8"/>
      <c r="AW274" s="8"/>
      <c r="AX274" s="8"/>
      <c r="AY274" s="8"/>
      <c r="AZ274" s="8"/>
      <c r="BA274" s="8"/>
      <c r="BC274" s="8"/>
      <c r="BE274" s="8"/>
      <c r="BF274" s="8"/>
      <c r="BG274" s="8"/>
    </row>
    <row r="275" spans="18:59">
      <c r="R275" s="8"/>
      <c r="S275" s="8"/>
      <c r="W275" s="8"/>
      <c r="X275" s="8"/>
      <c r="AE275" s="8"/>
      <c r="AF275" s="8"/>
      <c r="AV275" s="8"/>
      <c r="AW275" s="8"/>
      <c r="AX275" s="8"/>
      <c r="AY275" s="8"/>
      <c r="AZ275" s="8"/>
      <c r="BA275" s="8"/>
      <c r="BC275" s="8"/>
      <c r="BE275" s="8"/>
      <c r="BF275" s="8"/>
      <c r="BG275" s="8"/>
    </row>
    <row r="276" spans="18:59">
      <c r="R276" s="8"/>
      <c r="S276" s="8"/>
      <c r="W276" s="8"/>
      <c r="X276" s="8"/>
      <c r="AE276" s="8"/>
      <c r="AF276" s="8"/>
      <c r="AV276" s="8"/>
      <c r="AW276" s="8"/>
      <c r="AX276" s="8"/>
      <c r="AY276" s="8"/>
      <c r="AZ276" s="8"/>
      <c r="BA276" s="8"/>
      <c r="BC276" s="8"/>
      <c r="BE276" s="8"/>
      <c r="BF276" s="8"/>
      <c r="BG276" s="8"/>
    </row>
    <row r="277" spans="18:59">
      <c r="R277" s="8"/>
      <c r="S277" s="8"/>
      <c r="W277" s="8"/>
      <c r="X277" s="8"/>
      <c r="AE277" s="8"/>
      <c r="AF277" s="8"/>
      <c r="AV277" s="8"/>
      <c r="AW277" s="8"/>
      <c r="AX277" s="8"/>
      <c r="AY277" s="8"/>
      <c r="AZ277" s="8"/>
      <c r="BA277" s="8"/>
      <c r="BC277" s="8"/>
      <c r="BE277" s="8"/>
      <c r="BF277" s="8"/>
      <c r="BG277" s="8"/>
    </row>
    <row r="278" spans="18:59">
      <c r="R278" s="8"/>
      <c r="S278" s="8"/>
      <c r="W278" s="8"/>
      <c r="X278" s="8"/>
      <c r="AE278" s="8"/>
      <c r="AF278" s="8"/>
      <c r="AV278" s="8"/>
      <c r="AW278" s="8"/>
      <c r="AX278" s="8"/>
      <c r="AY278" s="8"/>
      <c r="AZ278" s="8"/>
      <c r="BA278" s="8"/>
      <c r="BC278" s="8"/>
      <c r="BE278" s="8"/>
      <c r="BF278" s="8"/>
      <c r="BG278" s="8"/>
    </row>
    <row r="279" spans="18:59">
      <c r="R279" s="8"/>
      <c r="S279" s="8"/>
      <c r="W279" s="8"/>
      <c r="X279" s="8"/>
      <c r="AE279" s="8"/>
      <c r="AF279" s="8"/>
      <c r="AV279" s="8"/>
      <c r="AW279" s="8"/>
      <c r="AX279" s="8"/>
      <c r="AY279" s="8"/>
      <c r="AZ279" s="8"/>
      <c r="BA279" s="8"/>
      <c r="BC279" s="8"/>
      <c r="BE279" s="8"/>
      <c r="BF279" s="8"/>
      <c r="BG279" s="8"/>
    </row>
    <row r="280" spans="18:59">
      <c r="R280" s="8"/>
      <c r="S280" s="8"/>
      <c r="W280" s="8"/>
      <c r="X280" s="8"/>
      <c r="AE280" s="8"/>
      <c r="AF280" s="8"/>
      <c r="AV280" s="8"/>
      <c r="AW280" s="8"/>
      <c r="AX280" s="8"/>
      <c r="AY280" s="8"/>
      <c r="AZ280" s="8"/>
      <c r="BA280" s="8"/>
      <c r="BC280" s="8"/>
      <c r="BE280" s="8"/>
      <c r="BF280" s="8"/>
      <c r="BG280" s="8"/>
    </row>
    <row r="281" spans="18:59">
      <c r="R281" s="8"/>
      <c r="S281" s="8"/>
      <c r="W281" s="8"/>
      <c r="X281" s="8"/>
      <c r="AE281" s="8"/>
      <c r="AF281" s="8"/>
      <c r="AV281" s="8"/>
      <c r="AW281" s="8"/>
      <c r="AX281" s="8"/>
      <c r="AY281" s="8"/>
      <c r="AZ281" s="8"/>
      <c r="BA281" s="8"/>
      <c r="BC281" s="8"/>
      <c r="BE281" s="8"/>
      <c r="BF281" s="8"/>
      <c r="BG281" s="8"/>
    </row>
    <row r="282" spans="18:59">
      <c r="R282" s="8"/>
      <c r="S282" s="8"/>
      <c r="W282" s="8"/>
      <c r="X282" s="8"/>
      <c r="AE282" s="8"/>
      <c r="AF282" s="8"/>
      <c r="AV282" s="8"/>
      <c r="AW282" s="8"/>
      <c r="AX282" s="8"/>
      <c r="AY282" s="8"/>
      <c r="AZ282" s="8"/>
      <c r="BA282" s="8"/>
      <c r="BC282" s="8"/>
      <c r="BE282" s="8"/>
      <c r="BF282" s="8"/>
      <c r="BG282" s="8"/>
    </row>
    <row r="283" spans="18:59">
      <c r="R283" s="8"/>
      <c r="S283" s="8"/>
      <c r="W283" s="8"/>
      <c r="X283" s="8"/>
      <c r="AE283" s="8"/>
      <c r="AF283" s="8"/>
      <c r="AV283" s="8"/>
      <c r="AW283" s="8"/>
      <c r="AX283" s="8"/>
      <c r="AY283" s="8"/>
      <c r="AZ283" s="8"/>
      <c r="BA283" s="8"/>
      <c r="BC283" s="8"/>
      <c r="BE283" s="8"/>
      <c r="BF283" s="8"/>
      <c r="BG283" s="8"/>
    </row>
    <row r="284" spans="18:59">
      <c r="R284" s="8"/>
      <c r="S284" s="8"/>
      <c r="W284" s="8"/>
      <c r="X284" s="8"/>
      <c r="AE284" s="8"/>
      <c r="AF284" s="8"/>
      <c r="AV284" s="8"/>
      <c r="AW284" s="8"/>
      <c r="AX284" s="8"/>
      <c r="AY284" s="8"/>
      <c r="AZ284" s="8"/>
      <c r="BA284" s="8"/>
      <c r="BC284" s="8"/>
      <c r="BE284" s="8"/>
      <c r="BF284" s="8"/>
      <c r="BG284" s="8"/>
    </row>
    <row r="285" spans="18:59">
      <c r="R285" s="8"/>
      <c r="S285" s="8"/>
      <c r="W285" s="8"/>
      <c r="X285" s="8"/>
      <c r="AE285" s="8"/>
      <c r="AF285" s="8"/>
      <c r="AV285" s="8"/>
      <c r="AW285" s="8"/>
      <c r="AX285" s="8"/>
      <c r="AY285" s="8"/>
      <c r="AZ285" s="8"/>
      <c r="BA285" s="8"/>
      <c r="BC285" s="8"/>
      <c r="BE285" s="8"/>
      <c r="BF285" s="8"/>
      <c r="BG285" s="8"/>
    </row>
    <row r="286" spans="18:59">
      <c r="R286" s="8"/>
      <c r="S286" s="8"/>
      <c r="W286" s="8"/>
      <c r="X286" s="8"/>
      <c r="AE286" s="8"/>
      <c r="AF286" s="8"/>
      <c r="AV286" s="8"/>
      <c r="AW286" s="8"/>
      <c r="AX286" s="8"/>
      <c r="AY286" s="8"/>
      <c r="AZ286" s="8"/>
      <c r="BA286" s="8"/>
      <c r="BC286" s="8"/>
      <c r="BE286" s="8"/>
      <c r="BF286" s="8"/>
      <c r="BG286" s="8"/>
    </row>
    <row r="287" spans="18:59">
      <c r="R287" s="8"/>
      <c r="S287" s="8"/>
      <c r="W287" s="8"/>
      <c r="X287" s="8"/>
      <c r="AE287" s="8"/>
      <c r="AF287" s="8"/>
      <c r="AV287" s="8"/>
      <c r="AW287" s="8"/>
      <c r="AX287" s="8"/>
      <c r="AY287" s="8"/>
      <c r="AZ287" s="8"/>
      <c r="BA287" s="8"/>
      <c r="BC287" s="8"/>
      <c r="BE287" s="8"/>
      <c r="BF287" s="8"/>
      <c r="BG287" s="8"/>
    </row>
    <row r="288" spans="18:59">
      <c r="R288" s="8"/>
      <c r="S288" s="8"/>
      <c r="W288" s="8"/>
      <c r="X288" s="8"/>
      <c r="AE288" s="8"/>
      <c r="AF288" s="8"/>
      <c r="AV288" s="8"/>
      <c r="AW288" s="8"/>
      <c r="AX288" s="8"/>
      <c r="AY288" s="8"/>
      <c r="AZ288" s="8"/>
      <c r="BA288" s="8"/>
      <c r="BC288" s="8"/>
      <c r="BE288" s="8"/>
      <c r="BF288" s="8"/>
      <c r="BG288" s="8"/>
    </row>
    <row r="289" spans="18:59">
      <c r="R289" s="8"/>
      <c r="S289" s="8"/>
      <c r="W289" s="8"/>
      <c r="X289" s="8"/>
      <c r="AE289" s="8"/>
      <c r="AF289" s="8"/>
      <c r="AV289" s="8"/>
      <c r="AW289" s="8"/>
      <c r="AX289" s="8"/>
      <c r="AY289" s="8"/>
      <c r="AZ289" s="8"/>
      <c r="BA289" s="8"/>
      <c r="BC289" s="8"/>
      <c r="BE289" s="8"/>
      <c r="BF289" s="8"/>
      <c r="BG289" s="8"/>
    </row>
    <row r="290" spans="18:59">
      <c r="R290" s="8"/>
      <c r="S290" s="8"/>
      <c r="W290" s="8"/>
      <c r="X290" s="8"/>
      <c r="AE290" s="8"/>
      <c r="AF290" s="8"/>
      <c r="AV290" s="8"/>
      <c r="AW290" s="8"/>
      <c r="AX290" s="8"/>
      <c r="AY290" s="8"/>
      <c r="AZ290" s="8"/>
      <c r="BA290" s="8"/>
      <c r="BC290" s="8"/>
      <c r="BE290" s="8"/>
      <c r="BF290" s="8"/>
      <c r="BG290" s="8"/>
    </row>
    <row r="291" spans="18:59">
      <c r="R291" s="8"/>
      <c r="S291" s="8"/>
      <c r="W291" s="8"/>
      <c r="X291" s="8"/>
      <c r="AE291" s="8"/>
      <c r="AF291" s="8"/>
      <c r="AV291" s="8"/>
      <c r="AW291" s="8"/>
      <c r="AX291" s="8"/>
      <c r="AY291" s="8"/>
      <c r="AZ291" s="8"/>
      <c r="BA291" s="8"/>
      <c r="BC291" s="8"/>
      <c r="BE291" s="8"/>
      <c r="BF291" s="8"/>
      <c r="BG291" s="8"/>
    </row>
    <row r="292" spans="18:59">
      <c r="R292" s="8"/>
      <c r="S292" s="8"/>
      <c r="W292" s="8"/>
      <c r="X292" s="8"/>
      <c r="AE292" s="8"/>
      <c r="AF292" s="8"/>
      <c r="AV292" s="8"/>
      <c r="AW292" s="8"/>
      <c r="AX292" s="8"/>
      <c r="AY292" s="8"/>
      <c r="AZ292" s="8"/>
      <c r="BA292" s="8"/>
      <c r="BC292" s="8"/>
      <c r="BE292" s="8"/>
      <c r="BF292" s="8"/>
      <c r="BG292" s="8"/>
    </row>
    <row r="293" spans="18:59">
      <c r="R293" s="8"/>
      <c r="S293" s="8"/>
      <c r="W293" s="8"/>
      <c r="X293" s="8"/>
      <c r="AE293" s="8"/>
      <c r="AF293" s="8"/>
      <c r="AV293" s="8"/>
      <c r="AW293" s="8"/>
      <c r="AX293" s="8"/>
      <c r="AY293" s="8"/>
      <c r="AZ293" s="8"/>
      <c r="BA293" s="8"/>
      <c r="BC293" s="8"/>
      <c r="BE293" s="8"/>
      <c r="BF293" s="8"/>
      <c r="BG293" s="8"/>
    </row>
    <row r="294" spans="18:59">
      <c r="R294" s="8"/>
      <c r="S294" s="8"/>
      <c r="W294" s="8"/>
      <c r="X294" s="8"/>
      <c r="AE294" s="8"/>
      <c r="AF294" s="8"/>
      <c r="AV294" s="8"/>
      <c r="AW294" s="8"/>
      <c r="AX294" s="8"/>
      <c r="AY294" s="8"/>
      <c r="AZ294" s="8"/>
      <c r="BA294" s="8"/>
      <c r="BC294" s="8"/>
      <c r="BE294" s="8"/>
      <c r="BF294" s="8"/>
      <c r="BG294" s="8"/>
    </row>
    <row r="295" spans="18:59">
      <c r="R295" s="8"/>
      <c r="S295" s="8"/>
      <c r="W295" s="8"/>
      <c r="X295" s="8"/>
      <c r="AE295" s="8"/>
      <c r="AF295" s="8"/>
      <c r="AV295" s="8"/>
      <c r="AW295" s="8"/>
      <c r="AX295" s="8"/>
      <c r="AY295" s="8"/>
      <c r="AZ295" s="8"/>
      <c r="BA295" s="8"/>
      <c r="BC295" s="8"/>
      <c r="BE295" s="8"/>
      <c r="BF295" s="8"/>
      <c r="BG295" s="8"/>
    </row>
    <row r="296" spans="18:59">
      <c r="R296" s="8"/>
      <c r="S296" s="8"/>
      <c r="W296" s="8"/>
      <c r="X296" s="8"/>
      <c r="AE296" s="8"/>
      <c r="AF296" s="8"/>
      <c r="AV296" s="8"/>
      <c r="AW296" s="8"/>
      <c r="AX296" s="8"/>
      <c r="AY296" s="8"/>
      <c r="AZ296" s="8"/>
      <c r="BA296" s="8"/>
      <c r="BC296" s="8"/>
      <c r="BE296" s="8"/>
      <c r="BF296" s="8"/>
      <c r="BG296" s="8"/>
    </row>
    <row r="297" spans="18:59">
      <c r="R297" s="8"/>
      <c r="S297" s="8"/>
      <c r="W297" s="8"/>
      <c r="X297" s="8"/>
      <c r="AE297" s="8"/>
      <c r="AF297" s="8"/>
      <c r="AV297" s="8"/>
      <c r="AW297" s="8"/>
      <c r="AX297" s="8"/>
      <c r="AY297" s="8"/>
      <c r="AZ297" s="8"/>
      <c r="BA297" s="8"/>
      <c r="BC297" s="8"/>
      <c r="BE297" s="8"/>
      <c r="BF297" s="8"/>
      <c r="BG297" s="8"/>
    </row>
    <row r="298" spans="18:59">
      <c r="R298" s="8"/>
      <c r="S298" s="8"/>
      <c r="W298" s="8"/>
      <c r="X298" s="8"/>
      <c r="AE298" s="8"/>
      <c r="AF298" s="8"/>
      <c r="AV298" s="8"/>
      <c r="AW298" s="8"/>
      <c r="AX298" s="8"/>
      <c r="AY298" s="8"/>
      <c r="AZ298" s="8"/>
      <c r="BA298" s="8"/>
      <c r="BC298" s="8"/>
      <c r="BE298" s="8"/>
      <c r="BF298" s="8"/>
      <c r="BG298" s="8"/>
    </row>
    <row r="299" spans="18:59">
      <c r="R299" s="8"/>
      <c r="S299" s="8"/>
      <c r="W299" s="8"/>
      <c r="X299" s="8"/>
      <c r="AE299" s="8"/>
      <c r="AF299" s="8"/>
      <c r="AV299" s="8"/>
      <c r="AW299" s="8"/>
      <c r="AX299" s="8"/>
      <c r="AY299" s="8"/>
      <c r="AZ299" s="8"/>
      <c r="BA299" s="8"/>
      <c r="BC299" s="8"/>
      <c r="BE299" s="8"/>
      <c r="BF299" s="8"/>
      <c r="BG299" s="8"/>
    </row>
    <row r="300" spans="18:59">
      <c r="R300" s="8"/>
      <c r="S300" s="8"/>
      <c r="W300" s="8"/>
      <c r="X300" s="8"/>
      <c r="AE300" s="8"/>
      <c r="AF300" s="8"/>
      <c r="AV300" s="8"/>
      <c r="AW300" s="8"/>
      <c r="AX300" s="8"/>
      <c r="AY300" s="8"/>
      <c r="AZ300" s="8"/>
      <c r="BA300" s="8"/>
      <c r="BC300" s="8"/>
      <c r="BE300" s="8"/>
      <c r="BF300" s="8"/>
      <c r="BG300" s="8"/>
    </row>
    <row r="301" spans="18:59">
      <c r="R301" s="8"/>
      <c r="S301" s="8"/>
      <c r="W301" s="8"/>
      <c r="X301" s="8"/>
      <c r="AE301" s="8"/>
      <c r="AF301" s="8"/>
      <c r="AV301" s="8"/>
      <c r="AW301" s="8"/>
      <c r="AX301" s="8"/>
      <c r="AY301" s="8"/>
      <c r="AZ301" s="8"/>
      <c r="BA301" s="8"/>
      <c r="BC301" s="8"/>
      <c r="BE301" s="8"/>
      <c r="BF301" s="8"/>
      <c r="BG301" s="8"/>
    </row>
    <row r="302" spans="18:59">
      <c r="R302" s="8"/>
      <c r="S302" s="8"/>
      <c r="W302" s="8"/>
      <c r="X302" s="8"/>
      <c r="AE302" s="8"/>
      <c r="AF302" s="8"/>
      <c r="AV302" s="8"/>
      <c r="AW302" s="8"/>
      <c r="AX302" s="8"/>
      <c r="AY302" s="8"/>
      <c r="AZ302" s="8"/>
      <c r="BA302" s="8"/>
      <c r="BC302" s="8"/>
      <c r="BE302" s="8"/>
      <c r="BF302" s="8"/>
      <c r="BG302" s="8"/>
    </row>
    <row r="303" spans="18:59">
      <c r="R303" s="8"/>
      <c r="S303" s="8"/>
      <c r="W303" s="8"/>
      <c r="X303" s="8"/>
      <c r="AE303" s="8"/>
      <c r="AF303" s="8"/>
      <c r="AV303" s="8"/>
      <c r="AW303" s="8"/>
      <c r="AX303" s="8"/>
      <c r="AY303" s="8"/>
      <c r="AZ303" s="8"/>
      <c r="BA303" s="8"/>
      <c r="BC303" s="8"/>
      <c r="BE303" s="8"/>
      <c r="BF303" s="8"/>
      <c r="BG303" s="8"/>
    </row>
    <row r="304" spans="18:59">
      <c r="R304" s="8"/>
      <c r="S304" s="8"/>
      <c r="W304" s="8"/>
      <c r="X304" s="8"/>
      <c r="AE304" s="8"/>
      <c r="AF304" s="8"/>
      <c r="AV304" s="8"/>
      <c r="AW304" s="8"/>
      <c r="AX304" s="8"/>
      <c r="AY304" s="8"/>
      <c r="AZ304" s="8"/>
      <c r="BA304" s="8"/>
      <c r="BC304" s="8"/>
      <c r="BE304" s="8"/>
      <c r="BF304" s="8"/>
      <c r="BG304" s="8"/>
    </row>
    <row r="305" spans="18:59">
      <c r="R305" s="8"/>
      <c r="S305" s="8"/>
      <c r="W305" s="8"/>
      <c r="X305" s="8"/>
      <c r="AE305" s="8"/>
      <c r="AF305" s="8"/>
      <c r="AV305" s="8"/>
      <c r="AW305" s="8"/>
      <c r="AX305" s="8"/>
      <c r="AY305" s="8"/>
      <c r="AZ305" s="8"/>
      <c r="BA305" s="8"/>
      <c r="BC305" s="8"/>
      <c r="BE305" s="8"/>
      <c r="BF305" s="8"/>
      <c r="BG305" s="8"/>
    </row>
    <row r="306" spans="18:59">
      <c r="R306" s="8"/>
      <c r="S306" s="8"/>
      <c r="W306" s="8"/>
      <c r="X306" s="8"/>
      <c r="AE306" s="8"/>
      <c r="AF306" s="8"/>
      <c r="AV306" s="8"/>
      <c r="AW306" s="8"/>
      <c r="AX306" s="8"/>
      <c r="AY306" s="8"/>
      <c r="AZ306" s="8"/>
      <c r="BA306" s="8"/>
      <c r="BC306" s="8"/>
      <c r="BE306" s="8"/>
      <c r="BF306" s="8"/>
      <c r="BG306" s="8"/>
    </row>
    <row r="307" spans="18:59">
      <c r="R307" s="8"/>
      <c r="S307" s="8"/>
      <c r="W307" s="8"/>
      <c r="X307" s="8"/>
      <c r="AE307" s="8"/>
      <c r="AF307" s="8"/>
      <c r="AV307" s="8"/>
      <c r="AW307" s="8"/>
      <c r="AX307" s="8"/>
      <c r="AY307" s="8"/>
      <c r="AZ307" s="8"/>
      <c r="BA307" s="8"/>
      <c r="BC307" s="8"/>
      <c r="BE307" s="8"/>
      <c r="BF307" s="8"/>
      <c r="BG307" s="8"/>
    </row>
    <row r="308" spans="18:59">
      <c r="R308" s="8"/>
      <c r="S308" s="8"/>
      <c r="W308" s="8"/>
      <c r="X308" s="8"/>
      <c r="AE308" s="8"/>
      <c r="AF308" s="8"/>
      <c r="AV308" s="8"/>
      <c r="AW308" s="8"/>
      <c r="AX308" s="8"/>
      <c r="AY308" s="8"/>
      <c r="AZ308" s="8"/>
      <c r="BA308" s="8"/>
      <c r="BC308" s="8"/>
      <c r="BE308" s="8"/>
      <c r="BF308" s="8"/>
      <c r="BG308" s="8"/>
    </row>
    <row r="309" spans="18:59">
      <c r="R309" s="8"/>
      <c r="S309" s="8"/>
      <c r="W309" s="8"/>
      <c r="X309" s="8"/>
      <c r="AE309" s="8"/>
      <c r="AF309" s="8"/>
      <c r="AV309" s="8"/>
      <c r="AW309" s="8"/>
      <c r="AX309" s="8"/>
      <c r="AY309" s="8"/>
      <c r="AZ309" s="8"/>
      <c r="BA309" s="8"/>
      <c r="BC309" s="8"/>
      <c r="BE309" s="8"/>
      <c r="BF309" s="8"/>
      <c r="BG309" s="8"/>
    </row>
    <row r="310" spans="18:59">
      <c r="R310" s="8"/>
      <c r="S310" s="8"/>
      <c r="W310" s="8"/>
      <c r="X310" s="8"/>
      <c r="AE310" s="8"/>
      <c r="AF310" s="8"/>
      <c r="AV310" s="8"/>
      <c r="AW310" s="8"/>
      <c r="AX310" s="8"/>
      <c r="AY310" s="8"/>
      <c r="AZ310" s="8"/>
      <c r="BA310" s="8"/>
      <c r="BC310" s="8"/>
      <c r="BE310" s="8"/>
      <c r="BF310" s="8"/>
      <c r="BG310" s="8"/>
    </row>
    <row r="311" spans="18:59">
      <c r="R311" s="8"/>
      <c r="S311" s="8"/>
      <c r="W311" s="8"/>
      <c r="X311" s="8"/>
      <c r="AE311" s="8"/>
      <c r="AF311" s="8"/>
      <c r="AV311" s="8"/>
      <c r="AW311" s="8"/>
      <c r="AX311" s="8"/>
      <c r="AY311" s="8"/>
      <c r="AZ311" s="8"/>
      <c r="BA311" s="8"/>
      <c r="BC311" s="8"/>
      <c r="BE311" s="8"/>
      <c r="BF311" s="8"/>
      <c r="BG311" s="8"/>
    </row>
    <row r="312" spans="18:59">
      <c r="R312" s="8"/>
      <c r="S312" s="8"/>
      <c r="W312" s="8"/>
      <c r="X312" s="8"/>
      <c r="AE312" s="8"/>
      <c r="AF312" s="8"/>
      <c r="AV312" s="8"/>
      <c r="AW312" s="8"/>
      <c r="AX312" s="8"/>
      <c r="AY312" s="8"/>
      <c r="AZ312" s="8"/>
      <c r="BA312" s="8"/>
      <c r="BC312" s="8"/>
      <c r="BE312" s="8"/>
      <c r="BF312" s="8"/>
      <c r="BG312" s="8"/>
    </row>
    <row r="313" spans="18:59">
      <c r="R313" s="8"/>
      <c r="S313" s="8"/>
      <c r="W313" s="8"/>
      <c r="X313" s="8"/>
      <c r="AE313" s="8"/>
      <c r="AF313" s="8"/>
      <c r="AV313" s="8"/>
      <c r="AW313" s="8"/>
      <c r="AX313" s="8"/>
      <c r="AY313" s="8"/>
      <c r="AZ313" s="8"/>
      <c r="BA313" s="8"/>
      <c r="BC313" s="8"/>
      <c r="BE313" s="8"/>
      <c r="BF313" s="8"/>
      <c r="BG313" s="8"/>
    </row>
    <row r="314" spans="18:59">
      <c r="R314" s="8"/>
      <c r="S314" s="8"/>
      <c r="W314" s="8"/>
      <c r="X314" s="8"/>
      <c r="AE314" s="8"/>
      <c r="AF314" s="8"/>
      <c r="AV314" s="8"/>
      <c r="AW314" s="8"/>
      <c r="AX314" s="8"/>
      <c r="AY314" s="8"/>
      <c r="AZ314" s="8"/>
      <c r="BA314" s="8"/>
      <c r="BC314" s="8"/>
      <c r="BE314" s="8"/>
      <c r="BF314" s="8"/>
      <c r="BG314" s="8"/>
    </row>
    <row r="315" spans="18:59">
      <c r="R315" s="8"/>
      <c r="S315" s="8"/>
      <c r="W315" s="8"/>
      <c r="X315" s="8"/>
      <c r="AE315" s="8"/>
      <c r="AF315" s="8"/>
      <c r="AV315" s="8"/>
      <c r="AW315" s="8"/>
      <c r="AX315" s="8"/>
      <c r="AY315" s="8"/>
      <c r="AZ315" s="8"/>
      <c r="BA315" s="8"/>
      <c r="BC315" s="8"/>
      <c r="BE315" s="8"/>
      <c r="BF315" s="8"/>
      <c r="BG315" s="8"/>
    </row>
    <row r="316" spans="18:59">
      <c r="R316" s="8"/>
      <c r="S316" s="8"/>
      <c r="W316" s="8"/>
      <c r="X316" s="8"/>
      <c r="AE316" s="8"/>
      <c r="AF316" s="8"/>
      <c r="AV316" s="8"/>
      <c r="AW316" s="8"/>
      <c r="AX316" s="8"/>
      <c r="AY316" s="8"/>
      <c r="AZ316" s="8"/>
      <c r="BA316" s="8"/>
      <c r="BC316" s="8"/>
      <c r="BE316" s="8"/>
      <c r="BF316" s="8"/>
      <c r="BG316" s="8"/>
    </row>
    <row r="317" spans="18:59">
      <c r="R317" s="8"/>
      <c r="S317" s="8"/>
      <c r="W317" s="8"/>
      <c r="X317" s="8"/>
      <c r="AE317" s="8"/>
      <c r="AF317" s="8"/>
      <c r="AV317" s="8"/>
      <c r="AW317" s="8"/>
      <c r="AX317" s="8"/>
      <c r="AY317" s="8"/>
      <c r="AZ317" s="8"/>
      <c r="BA317" s="8"/>
      <c r="BC317" s="8"/>
      <c r="BE317" s="8"/>
      <c r="BF317" s="8"/>
      <c r="BG317" s="8"/>
    </row>
    <row r="318" spans="18:59">
      <c r="R318" s="8"/>
      <c r="S318" s="8"/>
      <c r="W318" s="8"/>
      <c r="X318" s="8"/>
      <c r="AE318" s="8"/>
      <c r="AF318" s="8"/>
      <c r="AV318" s="8"/>
      <c r="AW318" s="8"/>
      <c r="AX318" s="8"/>
      <c r="AY318" s="8"/>
      <c r="AZ318" s="8"/>
      <c r="BA318" s="8"/>
      <c r="BC318" s="8"/>
      <c r="BE318" s="8"/>
      <c r="BF318" s="8"/>
      <c r="BG318" s="8"/>
    </row>
    <row r="319" spans="18:59">
      <c r="R319" s="8"/>
      <c r="S319" s="8"/>
      <c r="W319" s="8"/>
      <c r="X319" s="8"/>
      <c r="AE319" s="8"/>
      <c r="AF319" s="8"/>
      <c r="AV319" s="8"/>
      <c r="AW319" s="8"/>
      <c r="AX319" s="8"/>
      <c r="AY319" s="8"/>
      <c r="AZ319" s="8"/>
      <c r="BA319" s="8"/>
      <c r="BC319" s="8"/>
      <c r="BE319" s="8"/>
      <c r="BF319" s="8"/>
      <c r="BG319" s="8"/>
    </row>
    <row r="320" spans="18:59">
      <c r="R320" s="8"/>
      <c r="S320" s="8"/>
      <c r="W320" s="8"/>
      <c r="X320" s="8"/>
      <c r="AE320" s="8"/>
      <c r="AF320" s="8"/>
      <c r="AV320" s="8"/>
      <c r="AW320" s="8"/>
      <c r="AX320" s="8"/>
      <c r="AY320" s="8"/>
      <c r="AZ320" s="8"/>
      <c r="BA320" s="8"/>
      <c r="BC320" s="8"/>
      <c r="BE320" s="8"/>
      <c r="BF320" s="8"/>
      <c r="BG320" s="8"/>
    </row>
    <row r="321" spans="18:59">
      <c r="R321" s="8"/>
      <c r="S321" s="8"/>
      <c r="W321" s="8"/>
      <c r="X321" s="8"/>
      <c r="AE321" s="8"/>
      <c r="AF321" s="8"/>
      <c r="AV321" s="8"/>
      <c r="AW321" s="8"/>
      <c r="AX321" s="8"/>
      <c r="AY321" s="8"/>
      <c r="AZ321" s="8"/>
      <c r="BA321" s="8"/>
      <c r="BC321" s="8"/>
      <c r="BE321" s="8"/>
      <c r="BF321" s="8"/>
      <c r="BG321" s="8"/>
    </row>
    <row r="322" spans="18:59">
      <c r="R322" s="8"/>
      <c r="S322" s="8"/>
      <c r="W322" s="8"/>
      <c r="X322" s="8"/>
      <c r="AE322" s="8"/>
      <c r="AF322" s="8"/>
      <c r="AV322" s="8"/>
      <c r="AW322" s="8"/>
      <c r="AX322" s="8"/>
      <c r="AY322" s="8"/>
      <c r="AZ322" s="8"/>
      <c r="BA322" s="8"/>
      <c r="BC322" s="8"/>
      <c r="BE322" s="8"/>
      <c r="BF322" s="8"/>
      <c r="BG322" s="8"/>
    </row>
    <row r="323" spans="18:59">
      <c r="R323" s="8"/>
      <c r="S323" s="8"/>
      <c r="W323" s="8"/>
      <c r="X323" s="8"/>
      <c r="AE323" s="8"/>
      <c r="AF323" s="8"/>
      <c r="AV323" s="8"/>
      <c r="AW323" s="8"/>
      <c r="AX323" s="8"/>
      <c r="AY323" s="8"/>
      <c r="AZ323" s="8"/>
      <c r="BA323" s="8"/>
      <c r="BC323" s="8"/>
      <c r="BE323" s="8"/>
      <c r="BF323" s="8"/>
      <c r="BG323" s="8"/>
    </row>
    <row r="324" spans="18:59">
      <c r="R324" s="8"/>
      <c r="S324" s="8"/>
      <c r="W324" s="8"/>
      <c r="X324" s="8"/>
      <c r="AE324" s="8"/>
      <c r="AF324" s="8"/>
      <c r="AV324" s="8"/>
      <c r="AW324" s="8"/>
      <c r="AX324" s="8"/>
      <c r="AY324" s="8"/>
      <c r="AZ324" s="8"/>
      <c r="BA324" s="8"/>
      <c r="BC324" s="8"/>
      <c r="BE324" s="8"/>
      <c r="BF324" s="8"/>
      <c r="BG324" s="8"/>
    </row>
    <row r="325" spans="18:59">
      <c r="R325" s="8"/>
      <c r="S325" s="8"/>
      <c r="W325" s="8"/>
      <c r="X325" s="8"/>
      <c r="AE325" s="8"/>
      <c r="AF325" s="8"/>
      <c r="AV325" s="8"/>
      <c r="AW325" s="8"/>
      <c r="AX325" s="8"/>
      <c r="AY325" s="8"/>
      <c r="AZ325" s="8"/>
      <c r="BA325" s="8"/>
      <c r="BC325" s="8"/>
      <c r="BE325" s="8"/>
      <c r="BF325" s="8"/>
      <c r="BG325" s="8"/>
    </row>
    <row r="326" spans="18:59">
      <c r="R326" s="8"/>
      <c r="S326" s="8"/>
      <c r="W326" s="8"/>
      <c r="X326" s="8"/>
      <c r="AE326" s="8"/>
      <c r="AF326" s="8"/>
      <c r="AV326" s="8"/>
      <c r="AW326" s="8"/>
      <c r="AX326" s="8"/>
      <c r="AY326" s="8"/>
      <c r="AZ326" s="8"/>
      <c r="BA326" s="8"/>
      <c r="BC326" s="8"/>
      <c r="BE326" s="8"/>
      <c r="BF326" s="8"/>
      <c r="BG326" s="8"/>
    </row>
    <row r="327" spans="18:59">
      <c r="R327" s="8"/>
      <c r="S327" s="8"/>
      <c r="W327" s="8"/>
      <c r="X327" s="8"/>
      <c r="AE327" s="8"/>
      <c r="AF327" s="8"/>
      <c r="AV327" s="8"/>
      <c r="AW327" s="8"/>
      <c r="AX327" s="8"/>
      <c r="AY327" s="8"/>
      <c r="AZ327" s="8"/>
      <c r="BA327" s="8"/>
      <c r="BC327" s="8"/>
      <c r="BE327" s="8"/>
      <c r="BF327" s="8"/>
      <c r="BG327" s="8"/>
    </row>
    <row r="328" spans="18:59">
      <c r="R328" s="8"/>
      <c r="S328" s="8"/>
      <c r="W328" s="8"/>
      <c r="X328" s="8"/>
      <c r="AE328" s="8"/>
      <c r="AF328" s="8"/>
      <c r="AV328" s="8"/>
      <c r="AW328" s="8"/>
      <c r="AX328" s="8"/>
      <c r="AY328" s="8"/>
      <c r="AZ328" s="8"/>
      <c r="BA328" s="8"/>
      <c r="BC328" s="8"/>
      <c r="BE328" s="8"/>
      <c r="BF328" s="8"/>
      <c r="BG328" s="8"/>
    </row>
    <row r="329" spans="18:59">
      <c r="R329" s="8"/>
      <c r="S329" s="8"/>
      <c r="W329" s="8"/>
      <c r="X329" s="8"/>
      <c r="AE329" s="8"/>
      <c r="AF329" s="8"/>
      <c r="AV329" s="8"/>
      <c r="AW329" s="8"/>
      <c r="AX329" s="8"/>
      <c r="AY329" s="8"/>
      <c r="AZ329" s="8"/>
      <c r="BA329" s="8"/>
      <c r="BC329" s="8"/>
      <c r="BE329" s="8"/>
      <c r="BF329" s="8"/>
      <c r="BG329" s="8"/>
    </row>
    <row r="330" spans="18:59">
      <c r="R330" s="8"/>
      <c r="S330" s="8"/>
      <c r="W330" s="8"/>
      <c r="X330" s="8"/>
      <c r="AE330" s="8"/>
      <c r="AF330" s="8"/>
      <c r="AV330" s="8"/>
      <c r="AW330" s="8"/>
      <c r="AX330" s="8"/>
      <c r="AY330" s="8"/>
      <c r="AZ330" s="8"/>
      <c r="BA330" s="8"/>
      <c r="BC330" s="8"/>
      <c r="BE330" s="8"/>
      <c r="BF330" s="8"/>
      <c r="BG330" s="8"/>
    </row>
    <row r="331" spans="18:59">
      <c r="R331" s="8"/>
      <c r="S331" s="8"/>
      <c r="W331" s="8"/>
      <c r="X331" s="8"/>
      <c r="AE331" s="8"/>
      <c r="AF331" s="8"/>
      <c r="AV331" s="8"/>
      <c r="AW331" s="8"/>
      <c r="AX331" s="8"/>
      <c r="AY331" s="8"/>
      <c r="AZ331" s="8"/>
      <c r="BA331" s="8"/>
      <c r="BC331" s="8"/>
      <c r="BE331" s="8"/>
      <c r="BF331" s="8"/>
      <c r="BG331" s="8"/>
    </row>
    <row r="332" spans="18:59">
      <c r="R332" s="8"/>
      <c r="S332" s="8"/>
      <c r="W332" s="8"/>
      <c r="X332" s="8"/>
      <c r="AE332" s="8"/>
      <c r="AF332" s="8"/>
      <c r="AV332" s="8"/>
      <c r="AW332" s="8"/>
      <c r="AX332" s="8"/>
      <c r="AY332" s="8"/>
      <c r="AZ332" s="8"/>
      <c r="BA332" s="8"/>
      <c r="BC332" s="8"/>
      <c r="BE332" s="8"/>
      <c r="BF332" s="8"/>
      <c r="BG332" s="8"/>
    </row>
    <row r="333" spans="18:59">
      <c r="R333" s="8"/>
      <c r="S333" s="8"/>
      <c r="W333" s="8"/>
      <c r="X333" s="8"/>
      <c r="AE333" s="8"/>
      <c r="AF333" s="8"/>
      <c r="AV333" s="8"/>
      <c r="AW333" s="8"/>
      <c r="AX333" s="8"/>
      <c r="AY333" s="8"/>
      <c r="AZ333" s="8"/>
      <c r="BA333" s="8"/>
      <c r="BC333" s="8"/>
      <c r="BE333" s="8"/>
      <c r="BF333" s="8"/>
      <c r="BG333" s="8"/>
    </row>
    <row r="334" spans="18:59">
      <c r="R334" s="8"/>
      <c r="S334" s="8"/>
      <c r="W334" s="8"/>
      <c r="X334" s="8"/>
      <c r="AE334" s="8"/>
      <c r="AF334" s="8"/>
      <c r="AV334" s="8"/>
      <c r="AW334" s="8"/>
      <c r="AX334" s="8"/>
      <c r="AY334" s="8"/>
      <c r="AZ334" s="8"/>
      <c r="BA334" s="8"/>
      <c r="BC334" s="8"/>
      <c r="BE334" s="8"/>
      <c r="BF334" s="8"/>
      <c r="BG334" s="8"/>
    </row>
    <row r="335" spans="18:59">
      <c r="R335" s="8"/>
      <c r="S335" s="8"/>
      <c r="W335" s="8"/>
      <c r="X335" s="8"/>
      <c r="AE335" s="8"/>
      <c r="AF335" s="8"/>
      <c r="AV335" s="8"/>
      <c r="AW335" s="8"/>
      <c r="AX335" s="8"/>
      <c r="AY335" s="8"/>
      <c r="AZ335" s="8"/>
      <c r="BA335" s="8"/>
      <c r="BC335" s="8"/>
      <c r="BE335" s="8"/>
      <c r="BF335" s="8"/>
      <c r="BG335" s="8"/>
    </row>
    <row r="336" spans="18:59">
      <c r="R336" s="8"/>
      <c r="S336" s="8"/>
      <c r="W336" s="8"/>
      <c r="X336" s="8"/>
      <c r="AE336" s="8"/>
      <c r="AF336" s="8"/>
      <c r="AV336" s="8"/>
      <c r="AW336" s="8"/>
      <c r="AX336" s="8"/>
      <c r="AY336" s="8"/>
      <c r="AZ336" s="8"/>
      <c r="BA336" s="8"/>
      <c r="BC336" s="8"/>
      <c r="BE336" s="8"/>
      <c r="BF336" s="8"/>
      <c r="BG336" s="8"/>
    </row>
    <row r="337" spans="18:59">
      <c r="R337" s="8"/>
      <c r="S337" s="8"/>
      <c r="W337" s="8"/>
      <c r="X337" s="8"/>
      <c r="AE337" s="8"/>
      <c r="AF337" s="8"/>
      <c r="AV337" s="8"/>
      <c r="AW337" s="8"/>
      <c r="AX337" s="8"/>
      <c r="AY337" s="8"/>
      <c r="AZ337" s="8"/>
      <c r="BA337" s="8"/>
      <c r="BC337" s="8"/>
      <c r="BE337" s="8"/>
      <c r="BF337" s="8"/>
      <c r="BG337" s="8"/>
    </row>
    <row r="338" spans="18:59">
      <c r="R338" s="8"/>
      <c r="S338" s="8"/>
      <c r="W338" s="8"/>
      <c r="X338" s="8"/>
      <c r="AE338" s="8"/>
      <c r="AF338" s="8"/>
      <c r="AV338" s="8"/>
      <c r="AW338" s="8"/>
      <c r="AX338" s="8"/>
      <c r="AY338" s="8"/>
      <c r="AZ338" s="8"/>
      <c r="BA338" s="8"/>
      <c r="BC338" s="8"/>
      <c r="BE338" s="8"/>
      <c r="BF338" s="8"/>
      <c r="BG338" s="8"/>
    </row>
    <row r="339" spans="18:59">
      <c r="R339" s="8"/>
      <c r="S339" s="8"/>
      <c r="W339" s="8"/>
      <c r="X339" s="8"/>
      <c r="AE339" s="8"/>
      <c r="AF339" s="8"/>
      <c r="AV339" s="8"/>
      <c r="AW339" s="8"/>
      <c r="AX339" s="8"/>
      <c r="AY339" s="8"/>
      <c r="AZ339" s="8"/>
      <c r="BA339" s="8"/>
      <c r="BC339" s="8"/>
      <c r="BE339" s="8"/>
      <c r="BF339" s="8"/>
      <c r="BG339" s="8"/>
    </row>
    <row r="340" spans="18:59">
      <c r="R340" s="8"/>
      <c r="S340" s="8"/>
      <c r="W340" s="8"/>
      <c r="X340" s="8"/>
      <c r="AE340" s="8"/>
      <c r="AF340" s="8"/>
      <c r="AV340" s="8"/>
      <c r="AW340" s="8"/>
      <c r="AX340" s="8"/>
      <c r="AY340" s="8"/>
      <c r="AZ340" s="8"/>
      <c r="BA340" s="8"/>
      <c r="BC340" s="8"/>
      <c r="BE340" s="8"/>
      <c r="BF340" s="8"/>
      <c r="BG340" s="8"/>
    </row>
    <row r="341" spans="18:59">
      <c r="R341" s="8"/>
      <c r="S341" s="8"/>
      <c r="W341" s="8"/>
      <c r="X341" s="8"/>
      <c r="AE341" s="8"/>
      <c r="AF341" s="8"/>
      <c r="AV341" s="8"/>
      <c r="AW341" s="8"/>
      <c r="AX341" s="8"/>
      <c r="AY341" s="8"/>
      <c r="AZ341" s="8"/>
      <c r="BA341" s="8"/>
      <c r="BC341" s="8"/>
      <c r="BE341" s="8"/>
      <c r="BF341" s="8"/>
      <c r="BG341" s="8"/>
    </row>
    <row r="342" spans="18:59">
      <c r="R342" s="8"/>
      <c r="S342" s="8"/>
      <c r="W342" s="8"/>
      <c r="X342" s="8"/>
      <c r="AE342" s="8"/>
      <c r="AF342" s="8"/>
      <c r="AV342" s="8"/>
      <c r="AW342" s="8"/>
      <c r="AX342" s="8"/>
      <c r="AY342" s="8"/>
      <c r="AZ342" s="8"/>
      <c r="BA342" s="8"/>
      <c r="BC342" s="8"/>
      <c r="BE342" s="8"/>
      <c r="BF342" s="8"/>
      <c r="BG342" s="8"/>
    </row>
    <row r="343" spans="18:59">
      <c r="R343" s="8"/>
      <c r="S343" s="8"/>
      <c r="W343" s="8"/>
      <c r="X343" s="8"/>
      <c r="AE343" s="8"/>
      <c r="AF343" s="8"/>
      <c r="AV343" s="8"/>
      <c r="AW343" s="8"/>
      <c r="AX343" s="8"/>
      <c r="AY343" s="8"/>
      <c r="AZ343" s="8"/>
      <c r="BA343" s="8"/>
      <c r="BC343" s="8"/>
      <c r="BE343" s="8"/>
      <c r="BF343" s="8"/>
      <c r="BG343" s="8"/>
    </row>
    <row r="344" spans="18:59">
      <c r="R344" s="8"/>
      <c r="S344" s="8"/>
      <c r="W344" s="8"/>
      <c r="X344" s="8"/>
      <c r="AE344" s="8"/>
      <c r="AF344" s="8"/>
      <c r="AV344" s="8"/>
      <c r="AW344" s="8"/>
      <c r="AX344" s="8"/>
      <c r="AY344" s="8"/>
      <c r="AZ344" s="8"/>
      <c r="BA344" s="8"/>
      <c r="BC344" s="8"/>
      <c r="BE344" s="8"/>
      <c r="BF344" s="8"/>
      <c r="BG344" s="8"/>
    </row>
    <row r="345" spans="18:59">
      <c r="R345" s="8"/>
      <c r="S345" s="8"/>
      <c r="W345" s="8"/>
      <c r="X345" s="8"/>
      <c r="AE345" s="8"/>
      <c r="AF345" s="8"/>
      <c r="AV345" s="8"/>
      <c r="AW345" s="8"/>
      <c r="AX345" s="8"/>
      <c r="AY345" s="8"/>
      <c r="AZ345" s="8"/>
      <c r="BA345" s="8"/>
      <c r="BC345" s="8"/>
      <c r="BE345" s="8"/>
      <c r="BF345" s="8"/>
      <c r="BG345" s="8"/>
    </row>
    <row r="346" spans="18:59">
      <c r="R346" s="8"/>
      <c r="S346" s="8"/>
      <c r="W346" s="8"/>
      <c r="X346" s="8"/>
      <c r="AE346" s="8"/>
      <c r="AF346" s="8"/>
      <c r="AV346" s="8"/>
      <c r="AW346" s="8"/>
      <c r="AX346" s="8"/>
      <c r="AY346" s="8"/>
      <c r="AZ346" s="8"/>
      <c r="BA346" s="8"/>
      <c r="BC346" s="8"/>
      <c r="BE346" s="8"/>
      <c r="BF346" s="8"/>
      <c r="BG346" s="8"/>
    </row>
    <row r="347" spans="18:59">
      <c r="R347" s="8"/>
      <c r="S347" s="8"/>
      <c r="W347" s="8"/>
      <c r="X347" s="8"/>
      <c r="AE347" s="8"/>
      <c r="AF347" s="8"/>
      <c r="AV347" s="8"/>
      <c r="AW347" s="8"/>
      <c r="AX347" s="8"/>
      <c r="AY347" s="8"/>
      <c r="AZ347" s="8"/>
      <c r="BA347" s="8"/>
      <c r="BC347" s="8"/>
      <c r="BE347" s="8"/>
      <c r="BF347" s="8"/>
      <c r="BG347" s="8"/>
    </row>
    <row r="348" spans="18:59">
      <c r="R348" s="8"/>
      <c r="S348" s="8"/>
      <c r="W348" s="8"/>
      <c r="X348" s="8"/>
      <c r="AE348" s="8"/>
      <c r="AF348" s="8"/>
      <c r="AV348" s="8"/>
      <c r="AW348" s="8"/>
      <c r="AX348" s="8"/>
      <c r="AY348" s="8"/>
      <c r="AZ348" s="8"/>
      <c r="BA348" s="8"/>
      <c r="BC348" s="8"/>
      <c r="BE348" s="8"/>
      <c r="BF348" s="8"/>
      <c r="BG348" s="8"/>
    </row>
    <row r="349" spans="18:59">
      <c r="R349" s="8"/>
      <c r="S349" s="8"/>
      <c r="W349" s="8"/>
      <c r="X349" s="8"/>
      <c r="AE349" s="8"/>
      <c r="AF349" s="8"/>
      <c r="AV349" s="8"/>
      <c r="AW349" s="8"/>
      <c r="AX349" s="8"/>
      <c r="AY349" s="8"/>
      <c r="AZ349" s="8"/>
      <c r="BA349" s="8"/>
      <c r="BC349" s="8"/>
      <c r="BE349" s="8"/>
      <c r="BF349" s="8"/>
      <c r="BG349" s="8"/>
    </row>
    <row r="350" spans="18:59">
      <c r="R350" s="8"/>
      <c r="S350" s="8"/>
      <c r="W350" s="8"/>
      <c r="X350" s="8"/>
      <c r="AE350" s="8"/>
      <c r="AF350" s="8"/>
      <c r="AV350" s="8"/>
      <c r="AW350" s="8"/>
      <c r="AX350" s="8"/>
      <c r="AY350" s="8"/>
      <c r="AZ350" s="8"/>
      <c r="BA350" s="8"/>
      <c r="BC350" s="8"/>
      <c r="BE350" s="8"/>
      <c r="BF350" s="8"/>
      <c r="BG350" s="8"/>
    </row>
    <row r="351" spans="18:59">
      <c r="R351" s="8"/>
      <c r="S351" s="8"/>
      <c r="W351" s="8"/>
      <c r="X351" s="8"/>
      <c r="AE351" s="8"/>
      <c r="AF351" s="8"/>
      <c r="AV351" s="8"/>
      <c r="AW351" s="8"/>
      <c r="AX351" s="8"/>
      <c r="AY351" s="8"/>
      <c r="AZ351" s="8"/>
      <c r="BA351" s="8"/>
      <c r="BC351" s="8"/>
      <c r="BE351" s="8"/>
      <c r="BF351" s="8"/>
      <c r="BG351" s="8"/>
    </row>
    <row r="352" spans="18:59">
      <c r="R352" s="8"/>
      <c r="S352" s="8"/>
      <c r="W352" s="8"/>
      <c r="X352" s="8"/>
      <c r="AE352" s="8"/>
      <c r="AF352" s="8"/>
      <c r="AV352" s="8"/>
      <c r="AW352" s="8"/>
      <c r="AX352" s="8"/>
      <c r="AY352" s="8"/>
      <c r="AZ352" s="8"/>
      <c r="BA352" s="8"/>
      <c r="BC352" s="8"/>
      <c r="BE352" s="8"/>
      <c r="BF352" s="8"/>
      <c r="BG352" s="8"/>
    </row>
    <row r="353" spans="18:59">
      <c r="R353" s="8"/>
      <c r="S353" s="8"/>
      <c r="W353" s="8"/>
      <c r="X353" s="8"/>
      <c r="AE353" s="8"/>
      <c r="AF353" s="8"/>
      <c r="AV353" s="8"/>
      <c r="AW353" s="8"/>
      <c r="AX353" s="8"/>
      <c r="AY353" s="8"/>
      <c r="AZ353" s="8"/>
      <c r="BA353" s="8"/>
      <c r="BC353" s="8"/>
      <c r="BE353" s="8"/>
      <c r="BF353" s="8"/>
      <c r="BG353" s="8"/>
    </row>
    <row r="354" spans="18:59">
      <c r="R354" s="8"/>
      <c r="S354" s="8"/>
      <c r="W354" s="8"/>
      <c r="X354" s="8"/>
      <c r="AE354" s="8"/>
      <c r="AF354" s="8"/>
      <c r="AV354" s="8"/>
      <c r="AW354" s="8"/>
      <c r="AX354" s="8"/>
      <c r="AY354" s="8"/>
      <c r="AZ354" s="8"/>
      <c r="BA354" s="8"/>
      <c r="BC354" s="8"/>
      <c r="BE354" s="8"/>
      <c r="BF354" s="8"/>
      <c r="BG354" s="8"/>
    </row>
    <row r="355" spans="18:59">
      <c r="R355" s="8"/>
      <c r="S355" s="8"/>
      <c r="W355" s="8"/>
      <c r="X355" s="8"/>
      <c r="AE355" s="8"/>
      <c r="AF355" s="8"/>
      <c r="AV355" s="8"/>
      <c r="AW355" s="8"/>
      <c r="AX355" s="8"/>
      <c r="AY355" s="8"/>
      <c r="AZ355" s="8"/>
      <c r="BA355" s="8"/>
      <c r="BC355" s="8"/>
      <c r="BE355" s="8"/>
      <c r="BF355" s="8"/>
      <c r="BG355" s="8"/>
    </row>
    <row r="356" spans="18:59">
      <c r="R356" s="8"/>
      <c r="S356" s="8"/>
      <c r="W356" s="8"/>
      <c r="X356" s="8"/>
      <c r="AE356" s="8"/>
      <c r="AF356" s="8"/>
      <c r="AV356" s="8"/>
      <c r="AW356" s="8"/>
      <c r="AX356" s="8"/>
      <c r="AY356" s="8"/>
      <c r="AZ356" s="8"/>
      <c r="BA356" s="8"/>
      <c r="BC356" s="8"/>
      <c r="BE356" s="8"/>
      <c r="BF356" s="8"/>
      <c r="BG356" s="8"/>
    </row>
    <row r="357" spans="18:59">
      <c r="R357" s="8"/>
      <c r="S357" s="8"/>
      <c r="W357" s="8"/>
      <c r="X357" s="8"/>
      <c r="AE357" s="8"/>
      <c r="AF357" s="8"/>
      <c r="AV357" s="8"/>
      <c r="AW357" s="8"/>
      <c r="AX357" s="8"/>
      <c r="AY357" s="8"/>
      <c r="AZ357" s="8"/>
      <c r="BA357" s="8"/>
      <c r="BC357" s="8"/>
      <c r="BE357" s="8"/>
      <c r="BF357" s="8"/>
      <c r="BG357" s="8"/>
    </row>
    <row r="358" spans="18:59">
      <c r="R358" s="8"/>
      <c r="S358" s="8"/>
      <c r="W358" s="8"/>
      <c r="X358" s="8"/>
      <c r="AE358" s="8"/>
      <c r="AF358" s="8"/>
      <c r="AV358" s="8"/>
      <c r="AW358" s="8"/>
      <c r="AX358" s="8"/>
      <c r="AY358" s="8"/>
      <c r="AZ358" s="8"/>
      <c r="BA358" s="8"/>
      <c r="BC358" s="8"/>
      <c r="BE358" s="8"/>
      <c r="BF358" s="8"/>
      <c r="BG358" s="8"/>
    </row>
    <row r="359" spans="18:59">
      <c r="R359" s="8"/>
      <c r="S359" s="8"/>
      <c r="W359" s="8"/>
      <c r="X359" s="8"/>
      <c r="AE359" s="8"/>
      <c r="AF359" s="8"/>
      <c r="AV359" s="8"/>
      <c r="AW359" s="8"/>
      <c r="AX359" s="8"/>
      <c r="AY359" s="8"/>
      <c r="AZ359" s="8"/>
      <c r="BA359" s="8"/>
      <c r="BC359" s="8"/>
      <c r="BE359" s="8"/>
      <c r="BF359" s="8"/>
      <c r="BG359" s="8"/>
    </row>
    <row r="360" spans="18:59">
      <c r="R360" s="8"/>
      <c r="S360" s="8"/>
      <c r="W360" s="8"/>
      <c r="X360" s="8"/>
      <c r="AE360" s="8"/>
      <c r="AF360" s="8"/>
      <c r="AV360" s="8"/>
      <c r="AW360" s="8"/>
      <c r="AX360" s="8"/>
      <c r="AY360" s="8"/>
      <c r="AZ360" s="8"/>
      <c r="BA360" s="8"/>
      <c r="BC360" s="8"/>
      <c r="BE360" s="8"/>
      <c r="BF360" s="8"/>
      <c r="BG360" s="8"/>
    </row>
    <row r="361" spans="18:59">
      <c r="R361" s="8"/>
      <c r="S361" s="8"/>
      <c r="W361" s="8"/>
      <c r="X361" s="8"/>
      <c r="AE361" s="8"/>
      <c r="AF361" s="8"/>
      <c r="AV361" s="8"/>
      <c r="AW361" s="8"/>
      <c r="AX361" s="8"/>
      <c r="AY361" s="8"/>
      <c r="AZ361" s="8"/>
      <c r="BA361" s="8"/>
      <c r="BC361" s="8"/>
      <c r="BE361" s="8"/>
      <c r="BF361" s="8"/>
      <c r="BG361" s="8"/>
    </row>
    <row r="362" spans="18:59">
      <c r="R362" s="8"/>
      <c r="S362" s="8"/>
      <c r="W362" s="8"/>
      <c r="X362" s="8"/>
      <c r="AE362" s="8"/>
      <c r="AF362" s="8"/>
      <c r="AV362" s="8"/>
      <c r="AW362" s="8"/>
      <c r="AX362" s="8"/>
      <c r="AY362" s="8"/>
      <c r="AZ362" s="8"/>
      <c r="BA362" s="8"/>
      <c r="BC362" s="8"/>
      <c r="BE362" s="8"/>
      <c r="BF362" s="8"/>
      <c r="BG362" s="8"/>
    </row>
    <row r="363" spans="18:59">
      <c r="R363" s="8"/>
      <c r="S363" s="8"/>
      <c r="W363" s="8"/>
      <c r="X363" s="8"/>
      <c r="AE363" s="8"/>
      <c r="AF363" s="8"/>
      <c r="AV363" s="8"/>
      <c r="AW363" s="8"/>
      <c r="AX363" s="8"/>
      <c r="AY363" s="8"/>
      <c r="AZ363" s="8"/>
      <c r="BA363" s="8"/>
      <c r="BC363" s="8"/>
      <c r="BE363" s="8"/>
      <c r="BF363" s="8"/>
      <c r="BG363" s="8"/>
    </row>
    <row r="364" spans="18:59">
      <c r="R364" s="8"/>
      <c r="S364" s="8"/>
      <c r="W364" s="8"/>
      <c r="X364" s="8"/>
      <c r="AE364" s="8"/>
      <c r="AF364" s="8"/>
      <c r="AV364" s="8"/>
      <c r="AW364" s="8"/>
      <c r="AX364" s="8"/>
      <c r="AY364" s="8"/>
      <c r="AZ364" s="8"/>
      <c r="BA364" s="8"/>
      <c r="BC364" s="8"/>
      <c r="BE364" s="8"/>
      <c r="BF364" s="8"/>
      <c r="BG364" s="8"/>
    </row>
    <row r="365" spans="18:59">
      <c r="R365" s="8"/>
      <c r="S365" s="8"/>
      <c r="W365" s="8"/>
      <c r="X365" s="8"/>
      <c r="AE365" s="8"/>
      <c r="AF365" s="8"/>
      <c r="AV365" s="8"/>
      <c r="AW365" s="8"/>
      <c r="AX365" s="8"/>
      <c r="AY365" s="8"/>
      <c r="AZ365" s="8"/>
      <c r="BA365" s="8"/>
      <c r="BC365" s="8"/>
      <c r="BE365" s="8"/>
      <c r="BF365" s="8"/>
      <c r="BG365" s="8"/>
    </row>
    <row r="366" spans="18:59">
      <c r="R366" s="8"/>
      <c r="S366" s="8"/>
      <c r="W366" s="8"/>
      <c r="X366" s="8"/>
      <c r="AE366" s="8"/>
      <c r="AF366" s="8"/>
      <c r="AV366" s="8"/>
      <c r="AW366" s="8"/>
      <c r="AX366" s="8"/>
      <c r="AY366" s="8"/>
      <c r="AZ366" s="8"/>
      <c r="BA366" s="8"/>
      <c r="BC366" s="8"/>
      <c r="BE366" s="8"/>
      <c r="BF366" s="8"/>
      <c r="BG366" s="8"/>
    </row>
    <row r="367" spans="18:59">
      <c r="R367" s="8"/>
      <c r="S367" s="8"/>
      <c r="W367" s="8"/>
      <c r="X367" s="8"/>
      <c r="AE367" s="8"/>
      <c r="AF367" s="8"/>
      <c r="AV367" s="8"/>
      <c r="AW367" s="8"/>
      <c r="AX367" s="8"/>
      <c r="AY367" s="8"/>
      <c r="AZ367" s="8"/>
      <c r="BA367" s="8"/>
      <c r="BC367" s="8"/>
      <c r="BE367" s="8"/>
      <c r="BF367" s="8"/>
      <c r="BG367" s="8"/>
    </row>
    <row r="368" spans="18:59">
      <c r="R368" s="8"/>
      <c r="S368" s="8"/>
      <c r="W368" s="8"/>
      <c r="X368" s="8"/>
      <c r="AE368" s="8"/>
      <c r="AF368" s="8"/>
      <c r="AV368" s="8"/>
      <c r="AW368" s="8"/>
      <c r="AX368" s="8"/>
      <c r="AY368" s="8"/>
      <c r="AZ368" s="8"/>
      <c r="BA368" s="8"/>
      <c r="BC368" s="8"/>
      <c r="BE368" s="8"/>
      <c r="BF368" s="8"/>
      <c r="BG368" s="8"/>
    </row>
    <row r="369" spans="18:59">
      <c r="R369" s="8"/>
      <c r="S369" s="8"/>
      <c r="W369" s="8"/>
      <c r="X369" s="8"/>
      <c r="AE369" s="8"/>
      <c r="AF369" s="8"/>
      <c r="AV369" s="8"/>
      <c r="AW369" s="8"/>
      <c r="AX369" s="8"/>
      <c r="AY369" s="8"/>
      <c r="AZ369" s="8"/>
      <c r="BA369" s="8"/>
      <c r="BC369" s="8"/>
      <c r="BE369" s="8"/>
      <c r="BF369" s="8"/>
      <c r="BG369" s="8"/>
    </row>
    <row r="370" spans="18:59">
      <c r="R370" s="8"/>
      <c r="S370" s="8"/>
      <c r="W370" s="8"/>
      <c r="X370" s="8"/>
      <c r="AE370" s="8"/>
      <c r="AF370" s="8"/>
      <c r="AV370" s="8"/>
      <c r="AW370" s="8"/>
      <c r="AX370" s="8"/>
      <c r="AY370" s="8"/>
      <c r="AZ370" s="8"/>
      <c r="BA370" s="8"/>
      <c r="BC370" s="8"/>
      <c r="BE370" s="8"/>
      <c r="BF370" s="8"/>
      <c r="BG370" s="8"/>
    </row>
    <row r="371" spans="18:59">
      <c r="R371" s="8"/>
      <c r="S371" s="8"/>
      <c r="W371" s="8"/>
      <c r="X371" s="8"/>
      <c r="AE371" s="8"/>
      <c r="AF371" s="8"/>
      <c r="AV371" s="8"/>
      <c r="AW371" s="8"/>
      <c r="AX371" s="8"/>
      <c r="AY371" s="8"/>
      <c r="AZ371" s="8"/>
      <c r="BA371" s="8"/>
      <c r="BC371" s="8"/>
      <c r="BE371" s="8"/>
      <c r="BF371" s="8"/>
      <c r="BG371" s="8"/>
    </row>
    <row r="372" spans="18:59">
      <c r="R372" s="8"/>
      <c r="S372" s="8"/>
      <c r="W372" s="8"/>
      <c r="X372" s="8"/>
      <c r="AE372" s="8"/>
      <c r="AF372" s="8"/>
      <c r="AV372" s="8"/>
      <c r="AW372" s="8"/>
      <c r="AX372" s="8"/>
      <c r="AY372" s="8"/>
      <c r="AZ372" s="8"/>
      <c r="BA372" s="8"/>
      <c r="BC372" s="8"/>
      <c r="BE372" s="8"/>
      <c r="BF372" s="8"/>
      <c r="BG372" s="8"/>
    </row>
    <row r="373" spans="18:59">
      <c r="R373" s="8"/>
      <c r="S373" s="8"/>
      <c r="W373" s="8"/>
      <c r="X373" s="8"/>
      <c r="AE373" s="8"/>
      <c r="AF373" s="8"/>
      <c r="AV373" s="8"/>
      <c r="AW373" s="8"/>
      <c r="AX373" s="8"/>
      <c r="AY373" s="8"/>
      <c r="AZ373" s="8"/>
      <c r="BA373" s="8"/>
      <c r="BC373" s="8"/>
      <c r="BE373" s="8"/>
      <c r="BF373" s="8"/>
      <c r="BG373" s="8"/>
    </row>
    <row r="374" spans="18:59">
      <c r="R374" s="8"/>
      <c r="S374" s="8"/>
      <c r="W374" s="8"/>
      <c r="X374" s="8"/>
      <c r="AE374" s="8"/>
      <c r="AF374" s="8"/>
      <c r="AV374" s="8"/>
      <c r="AW374" s="8"/>
      <c r="AX374" s="8"/>
      <c r="AY374" s="8"/>
      <c r="AZ374" s="8"/>
      <c r="BA374" s="8"/>
      <c r="BC374" s="8"/>
      <c r="BE374" s="8"/>
      <c r="BF374" s="8"/>
      <c r="BG374" s="8"/>
    </row>
    <row r="375" spans="18:59">
      <c r="R375" s="8"/>
      <c r="S375" s="8"/>
      <c r="W375" s="8"/>
      <c r="X375" s="8"/>
      <c r="AE375" s="8"/>
      <c r="AF375" s="8"/>
      <c r="AV375" s="8"/>
      <c r="AW375" s="8"/>
      <c r="AX375" s="8"/>
      <c r="AY375" s="8"/>
      <c r="AZ375" s="8"/>
      <c r="BA375" s="8"/>
      <c r="BC375" s="8"/>
      <c r="BE375" s="8"/>
      <c r="BF375" s="8"/>
      <c r="BG375" s="8"/>
    </row>
    <row r="376" spans="18:59">
      <c r="R376" s="8"/>
      <c r="S376" s="8"/>
      <c r="W376" s="8"/>
      <c r="X376" s="8"/>
      <c r="AE376" s="8"/>
      <c r="AF376" s="8"/>
      <c r="AV376" s="8"/>
      <c r="AW376" s="8"/>
      <c r="AX376" s="8"/>
      <c r="AY376" s="8"/>
      <c r="AZ376" s="8"/>
      <c r="BA376" s="8"/>
      <c r="BC376" s="8"/>
      <c r="BE376" s="8"/>
      <c r="BF376" s="8"/>
      <c r="BG376" s="8"/>
    </row>
    <row r="377" spans="18:59">
      <c r="R377" s="8"/>
      <c r="S377" s="8"/>
      <c r="W377" s="8"/>
      <c r="X377" s="8"/>
      <c r="AE377" s="8"/>
      <c r="AF377" s="8"/>
      <c r="AV377" s="8"/>
      <c r="AW377" s="8"/>
      <c r="AX377" s="8"/>
      <c r="AY377" s="8"/>
      <c r="AZ377" s="8"/>
      <c r="BA377" s="8"/>
      <c r="BC377" s="8"/>
      <c r="BE377" s="8"/>
      <c r="BF377" s="8"/>
      <c r="BG377" s="8"/>
    </row>
    <row r="378" spans="18:59">
      <c r="R378" s="8"/>
      <c r="S378" s="8"/>
      <c r="W378" s="8"/>
      <c r="X378" s="8"/>
      <c r="AE378" s="8"/>
      <c r="AF378" s="8"/>
      <c r="AV378" s="8"/>
      <c r="AW378" s="8"/>
      <c r="AX378" s="8"/>
      <c r="AY378" s="8"/>
      <c r="AZ378" s="8"/>
      <c r="BA378" s="8"/>
      <c r="BC378" s="8"/>
      <c r="BE378" s="8"/>
      <c r="BF378" s="8"/>
      <c r="BG378" s="8"/>
    </row>
    <row r="379" spans="18:59">
      <c r="R379" s="8"/>
      <c r="S379" s="8"/>
      <c r="W379" s="8"/>
      <c r="X379" s="8"/>
      <c r="AE379" s="8"/>
      <c r="AF379" s="8"/>
      <c r="AV379" s="8"/>
      <c r="AW379" s="8"/>
      <c r="AX379" s="8"/>
      <c r="AY379" s="8"/>
      <c r="AZ379" s="8"/>
      <c r="BA379" s="8"/>
      <c r="BC379" s="8"/>
      <c r="BE379" s="8"/>
      <c r="BF379" s="8"/>
      <c r="BG379" s="8"/>
    </row>
    <row r="380" spans="18:59">
      <c r="R380" s="8"/>
      <c r="S380" s="8"/>
      <c r="W380" s="8"/>
      <c r="X380" s="8"/>
      <c r="AE380" s="8"/>
      <c r="AF380" s="8"/>
      <c r="AV380" s="8"/>
      <c r="AW380" s="8"/>
      <c r="AX380" s="8"/>
      <c r="AY380" s="8"/>
      <c r="AZ380" s="8"/>
      <c r="BA380" s="8"/>
      <c r="BC380" s="8"/>
      <c r="BE380" s="8"/>
      <c r="BF380" s="8"/>
      <c r="BG380" s="8"/>
    </row>
    <row r="381" spans="18:59">
      <c r="R381" s="8"/>
      <c r="S381" s="8"/>
      <c r="W381" s="8"/>
      <c r="X381" s="8"/>
      <c r="AE381" s="8"/>
      <c r="AF381" s="8"/>
      <c r="AV381" s="8"/>
      <c r="AW381" s="8"/>
      <c r="AX381" s="8"/>
      <c r="AY381" s="8"/>
      <c r="AZ381" s="8"/>
      <c r="BA381" s="8"/>
      <c r="BC381" s="8"/>
      <c r="BE381" s="8"/>
      <c r="BF381" s="8"/>
      <c r="BG381" s="8"/>
    </row>
    <row r="382" spans="18:59">
      <c r="R382" s="8"/>
      <c r="S382" s="8"/>
      <c r="W382" s="8"/>
      <c r="X382" s="8"/>
      <c r="AE382" s="8"/>
      <c r="AF382" s="8"/>
      <c r="AV382" s="8"/>
      <c r="AW382" s="8"/>
      <c r="AX382" s="8"/>
      <c r="AY382" s="8"/>
      <c r="AZ382" s="8"/>
      <c r="BA382" s="8"/>
      <c r="BC382" s="8"/>
      <c r="BE382" s="8"/>
      <c r="BF382" s="8"/>
      <c r="BG382" s="8"/>
    </row>
    <row r="383" spans="18:59">
      <c r="R383" s="8"/>
      <c r="S383" s="8"/>
      <c r="W383" s="8"/>
      <c r="X383" s="8"/>
      <c r="AE383" s="8"/>
      <c r="AF383" s="8"/>
      <c r="AV383" s="8"/>
      <c r="AW383" s="8"/>
      <c r="AX383" s="8"/>
      <c r="AY383" s="8"/>
      <c r="AZ383" s="8"/>
      <c r="BA383" s="8"/>
      <c r="BC383" s="8"/>
      <c r="BE383" s="8"/>
      <c r="BF383" s="8"/>
      <c r="BG383" s="8"/>
    </row>
    <row r="384" spans="18:59">
      <c r="R384" s="8"/>
      <c r="S384" s="8"/>
      <c r="W384" s="8"/>
      <c r="X384" s="8"/>
      <c r="AE384" s="8"/>
      <c r="AF384" s="8"/>
      <c r="AV384" s="8"/>
      <c r="AW384" s="8"/>
      <c r="AX384" s="8"/>
      <c r="AY384" s="8"/>
      <c r="AZ384" s="8"/>
      <c r="BA384" s="8"/>
      <c r="BC384" s="8"/>
      <c r="BE384" s="8"/>
      <c r="BF384" s="8"/>
      <c r="BG384" s="8"/>
    </row>
    <row r="385" spans="18:59">
      <c r="R385" s="8"/>
      <c r="S385" s="8"/>
      <c r="W385" s="8"/>
      <c r="X385" s="8"/>
      <c r="AE385" s="8"/>
      <c r="AF385" s="8"/>
      <c r="AV385" s="8"/>
      <c r="AW385" s="8"/>
      <c r="AX385" s="8"/>
      <c r="AY385" s="8"/>
      <c r="AZ385" s="8"/>
      <c r="BA385" s="8"/>
      <c r="BC385" s="8"/>
      <c r="BE385" s="8"/>
      <c r="BF385" s="8"/>
      <c r="BG385" s="8"/>
    </row>
    <row r="386" spans="18:59">
      <c r="R386" s="8"/>
      <c r="S386" s="8"/>
      <c r="W386" s="8"/>
      <c r="X386" s="8"/>
      <c r="AE386" s="8"/>
      <c r="AF386" s="8"/>
      <c r="AV386" s="8"/>
      <c r="AW386" s="8"/>
      <c r="AX386" s="8"/>
      <c r="AY386" s="8"/>
      <c r="AZ386" s="8"/>
      <c r="BA386" s="8"/>
      <c r="BC386" s="8"/>
      <c r="BE386" s="8"/>
      <c r="BF386" s="8"/>
      <c r="BG386" s="8"/>
    </row>
    <row r="387" spans="18:59">
      <c r="R387" s="8"/>
      <c r="S387" s="8"/>
      <c r="W387" s="8"/>
      <c r="X387" s="8"/>
      <c r="AE387" s="8"/>
      <c r="AF387" s="8"/>
      <c r="AV387" s="8"/>
      <c r="AW387" s="8"/>
      <c r="AX387" s="8"/>
      <c r="AY387" s="8"/>
      <c r="AZ387" s="8"/>
      <c r="BA387" s="8"/>
      <c r="BC387" s="8"/>
      <c r="BE387" s="8"/>
      <c r="BF387" s="8"/>
      <c r="BG387" s="8"/>
    </row>
    <row r="388" spans="18:59">
      <c r="R388" s="8"/>
      <c r="S388" s="8"/>
      <c r="W388" s="8"/>
      <c r="X388" s="8"/>
      <c r="AE388" s="8"/>
      <c r="AF388" s="8"/>
      <c r="AV388" s="8"/>
      <c r="AW388" s="8"/>
      <c r="AX388" s="8"/>
      <c r="AY388" s="8"/>
      <c r="AZ388" s="8"/>
      <c r="BA388" s="8"/>
      <c r="BC388" s="8"/>
      <c r="BE388" s="8"/>
      <c r="BF388" s="8"/>
      <c r="BG388" s="8"/>
    </row>
    <row r="389" spans="18:59">
      <c r="R389" s="8"/>
      <c r="S389" s="8"/>
      <c r="W389" s="8"/>
      <c r="X389" s="8"/>
      <c r="AE389" s="8"/>
      <c r="AF389" s="8"/>
      <c r="AV389" s="8"/>
      <c r="AW389" s="8"/>
      <c r="AX389" s="8"/>
      <c r="AY389" s="8"/>
      <c r="AZ389" s="8"/>
      <c r="BA389" s="8"/>
      <c r="BC389" s="8"/>
      <c r="BE389" s="8"/>
      <c r="BF389" s="8"/>
      <c r="BG389" s="8"/>
    </row>
    <row r="390" spans="18:59">
      <c r="R390" s="8"/>
      <c r="S390" s="8"/>
      <c r="W390" s="8"/>
      <c r="X390" s="8"/>
      <c r="AE390" s="8"/>
      <c r="AF390" s="8"/>
      <c r="AV390" s="8"/>
      <c r="AW390" s="8"/>
      <c r="AX390" s="8"/>
      <c r="AY390" s="8"/>
      <c r="AZ390" s="8"/>
      <c r="BA390" s="8"/>
      <c r="BC390" s="8"/>
      <c r="BE390" s="8"/>
      <c r="BF390" s="8"/>
      <c r="BG390" s="8"/>
    </row>
    <row r="391" spans="18:59">
      <c r="R391" s="8"/>
      <c r="S391" s="8"/>
      <c r="W391" s="8"/>
      <c r="X391" s="8"/>
      <c r="AE391" s="8"/>
      <c r="AF391" s="8"/>
      <c r="AV391" s="8"/>
      <c r="AW391" s="8"/>
      <c r="AX391" s="8"/>
      <c r="AY391" s="8"/>
      <c r="AZ391" s="8"/>
      <c r="BA391" s="8"/>
      <c r="BC391" s="8"/>
      <c r="BE391" s="8"/>
      <c r="BF391" s="8"/>
      <c r="BG391" s="8"/>
    </row>
    <row r="392" spans="18:59">
      <c r="R392" s="8"/>
      <c r="S392" s="8"/>
      <c r="W392" s="8"/>
      <c r="X392" s="8"/>
      <c r="AE392" s="8"/>
      <c r="AF392" s="8"/>
      <c r="AV392" s="8"/>
      <c r="AW392" s="8"/>
      <c r="AX392" s="8"/>
      <c r="AY392" s="8"/>
      <c r="AZ392" s="8"/>
      <c r="BA392" s="8"/>
      <c r="BC392" s="8"/>
      <c r="BE392" s="8"/>
      <c r="BF392" s="8"/>
      <c r="BG392" s="8"/>
    </row>
    <row r="393" spans="18:59">
      <c r="R393" s="8"/>
      <c r="S393" s="8"/>
      <c r="W393" s="8"/>
      <c r="X393" s="8"/>
      <c r="AE393" s="8"/>
      <c r="AF393" s="8"/>
      <c r="AV393" s="8"/>
      <c r="AW393" s="8"/>
      <c r="AX393" s="8"/>
      <c r="AY393" s="8"/>
      <c r="AZ393" s="8"/>
      <c r="BA393" s="8"/>
      <c r="BC393" s="8"/>
      <c r="BE393" s="8"/>
      <c r="BF393" s="8"/>
      <c r="BG393" s="8"/>
    </row>
    <row r="394" spans="18:59">
      <c r="R394" s="8"/>
      <c r="S394" s="8"/>
      <c r="W394" s="8"/>
      <c r="X394" s="8"/>
      <c r="AE394" s="8"/>
      <c r="AF394" s="8"/>
      <c r="AV394" s="8"/>
      <c r="AW394" s="8"/>
      <c r="AX394" s="8"/>
      <c r="AY394" s="8"/>
      <c r="AZ394" s="8"/>
      <c r="BA394" s="8"/>
      <c r="BC394" s="8"/>
      <c r="BE394" s="8"/>
      <c r="BF394" s="8"/>
      <c r="BG394" s="8"/>
    </row>
    <row r="395" spans="18:59">
      <c r="R395" s="8"/>
      <c r="S395" s="8"/>
      <c r="W395" s="8"/>
      <c r="X395" s="8"/>
      <c r="AE395" s="8"/>
      <c r="AF395" s="8"/>
      <c r="AV395" s="8"/>
      <c r="AW395" s="8"/>
      <c r="AX395" s="8"/>
      <c r="AY395" s="8"/>
      <c r="AZ395" s="8"/>
      <c r="BA395" s="8"/>
      <c r="BC395" s="8"/>
      <c r="BE395" s="8"/>
      <c r="BF395" s="8"/>
      <c r="BG395" s="8"/>
    </row>
    <row r="396" spans="18:59">
      <c r="R396" s="8"/>
      <c r="S396" s="8"/>
      <c r="W396" s="8"/>
      <c r="X396" s="8"/>
      <c r="AE396" s="8"/>
      <c r="AF396" s="8"/>
      <c r="AV396" s="8"/>
      <c r="AW396" s="8"/>
      <c r="AX396" s="8"/>
      <c r="AY396" s="8"/>
      <c r="AZ396" s="8"/>
      <c r="BA396" s="8"/>
      <c r="BC396" s="8"/>
      <c r="BE396" s="8"/>
      <c r="BF396" s="8"/>
      <c r="BG396" s="8"/>
    </row>
    <row r="397" spans="18:59">
      <c r="R397" s="8"/>
      <c r="S397" s="8"/>
      <c r="W397" s="8"/>
      <c r="X397" s="8"/>
      <c r="AE397" s="8"/>
      <c r="AF397" s="8"/>
      <c r="AV397" s="8"/>
      <c r="AW397" s="8"/>
      <c r="AX397" s="8"/>
      <c r="AY397" s="8"/>
      <c r="AZ397" s="8"/>
      <c r="BA397" s="8"/>
      <c r="BC397" s="8"/>
      <c r="BE397" s="8"/>
      <c r="BF397" s="8"/>
      <c r="BG397" s="8"/>
    </row>
    <row r="398" spans="18:59">
      <c r="R398" s="8"/>
      <c r="S398" s="8"/>
      <c r="W398" s="8"/>
      <c r="X398" s="8"/>
      <c r="AE398" s="8"/>
      <c r="AF398" s="8"/>
      <c r="AV398" s="8"/>
      <c r="AW398" s="8"/>
      <c r="AX398" s="8"/>
      <c r="AY398" s="8"/>
      <c r="AZ398" s="8"/>
      <c r="BA398" s="8"/>
      <c r="BC398" s="8"/>
      <c r="BE398" s="8"/>
      <c r="BF398" s="8"/>
      <c r="BG398" s="8"/>
    </row>
    <row r="399" spans="18:59">
      <c r="R399" s="8"/>
      <c r="S399" s="8"/>
      <c r="W399" s="8"/>
      <c r="X399" s="8"/>
      <c r="AE399" s="8"/>
      <c r="AF399" s="8"/>
      <c r="AV399" s="8"/>
      <c r="AW399" s="8"/>
      <c r="AX399" s="8"/>
      <c r="AY399" s="8"/>
      <c r="AZ399" s="8"/>
      <c r="BA399" s="8"/>
      <c r="BC399" s="8"/>
      <c r="BE399" s="8"/>
      <c r="BF399" s="8"/>
      <c r="BG399" s="8"/>
    </row>
    <row r="400" spans="18:59">
      <c r="R400" s="8"/>
      <c r="S400" s="8"/>
      <c r="W400" s="8"/>
      <c r="X400" s="8"/>
      <c r="AE400" s="8"/>
      <c r="AF400" s="8"/>
      <c r="AV400" s="8"/>
      <c r="AW400" s="8"/>
      <c r="AX400" s="8"/>
      <c r="AY400" s="8"/>
      <c r="AZ400" s="8"/>
      <c r="BA400" s="8"/>
      <c r="BC400" s="8"/>
      <c r="BE400" s="8"/>
      <c r="BF400" s="8"/>
      <c r="BG400" s="8"/>
    </row>
    <row r="401" spans="18:59">
      <c r="R401" s="8"/>
      <c r="S401" s="8"/>
      <c r="W401" s="8"/>
      <c r="X401" s="8"/>
      <c r="AE401" s="8"/>
      <c r="AF401" s="8"/>
      <c r="AV401" s="8"/>
      <c r="AW401" s="8"/>
      <c r="AX401" s="8"/>
      <c r="AY401" s="8"/>
      <c r="AZ401" s="8"/>
      <c r="BA401" s="8"/>
      <c r="BC401" s="8"/>
      <c r="BE401" s="8"/>
      <c r="BF401" s="8"/>
      <c r="BG401" s="8"/>
    </row>
    <row r="402" spans="18:59">
      <c r="R402" s="8"/>
      <c r="S402" s="8"/>
      <c r="W402" s="8"/>
      <c r="X402" s="8"/>
      <c r="AE402" s="8"/>
      <c r="AF402" s="8"/>
      <c r="AV402" s="8"/>
      <c r="AW402" s="8"/>
      <c r="AX402" s="8"/>
      <c r="AY402" s="8"/>
      <c r="AZ402" s="8"/>
      <c r="BA402" s="8"/>
      <c r="BC402" s="8"/>
      <c r="BE402" s="8"/>
      <c r="BF402" s="8"/>
      <c r="BG402" s="8"/>
    </row>
    <row r="403" spans="18:59">
      <c r="R403" s="8"/>
      <c r="S403" s="8"/>
      <c r="W403" s="8"/>
      <c r="X403" s="8"/>
      <c r="AE403" s="8"/>
      <c r="AF403" s="8"/>
      <c r="AV403" s="8"/>
      <c r="AW403" s="8"/>
      <c r="AX403" s="8"/>
      <c r="AY403" s="8"/>
      <c r="AZ403" s="8"/>
      <c r="BA403" s="8"/>
      <c r="BC403" s="8"/>
      <c r="BE403" s="8"/>
      <c r="BF403" s="8"/>
      <c r="BG403" s="8"/>
    </row>
    <row r="404" spans="18:59">
      <c r="R404" s="8"/>
      <c r="S404" s="8"/>
      <c r="W404" s="8"/>
      <c r="X404" s="8"/>
      <c r="AE404" s="8"/>
      <c r="AF404" s="8"/>
      <c r="AV404" s="8"/>
      <c r="AW404" s="8"/>
      <c r="AX404" s="8"/>
      <c r="AY404" s="8"/>
      <c r="AZ404" s="8"/>
      <c r="BA404" s="8"/>
      <c r="BC404" s="8"/>
      <c r="BE404" s="8"/>
      <c r="BF404" s="8"/>
      <c r="BG404" s="8"/>
    </row>
    <row r="405" spans="18:59">
      <c r="R405" s="8"/>
      <c r="S405" s="8"/>
      <c r="W405" s="8"/>
      <c r="X405" s="8"/>
      <c r="AE405" s="8"/>
      <c r="AF405" s="8"/>
      <c r="AV405" s="8"/>
      <c r="AW405" s="8"/>
      <c r="AX405" s="8"/>
      <c r="AY405" s="8"/>
      <c r="AZ405" s="8"/>
      <c r="BA405" s="8"/>
      <c r="BC405" s="8"/>
      <c r="BE405" s="8"/>
      <c r="BF405" s="8"/>
      <c r="BG405" s="8"/>
    </row>
    <row r="406" spans="18:59">
      <c r="R406" s="8"/>
      <c r="S406" s="8"/>
      <c r="W406" s="8"/>
      <c r="X406" s="8"/>
      <c r="AE406" s="8"/>
      <c r="AF406" s="8"/>
      <c r="AV406" s="8"/>
      <c r="AW406" s="8"/>
      <c r="AX406" s="8"/>
      <c r="AY406" s="8"/>
      <c r="AZ406" s="8"/>
      <c r="BA406" s="8"/>
      <c r="BC406" s="8"/>
      <c r="BE406" s="8"/>
      <c r="BF406" s="8"/>
      <c r="BG406" s="8"/>
    </row>
    <row r="407" spans="18:59">
      <c r="R407" s="8"/>
      <c r="S407" s="8"/>
      <c r="W407" s="8"/>
      <c r="X407" s="8"/>
      <c r="AE407" s="8"/>
      <c r="AF407" s="8"/>
      <c r="AV407" s="8"/>
      <c r="AW407" s="8"/>
      <c r="AX407" s="8"/>
      <c r="AY407" s="8"/>
      <c r="AZ407" s="8"/>
      <c r="BA407" s="8"/>
      <c r="BC407" s="8"/>
      <c r="BE407" s="8"/>
      <c r="BF407" s="8"/>
      <c r="BG407" s="8"/>
    </row>
    <row r="408" spans="18:59">
      <c r="R408" s="8"/>
      <c r="S408" s="8"/>
      <c r="W408" s="8"/>
      <c r="X408" s="8"/>
      <c r="AE408" s="8"/>
      <c r="AF408" s="8"/>
      <c r="AV408" s="8"/>
      <c r="AW408" s="8"/>
      <c r="AX408" s="8"/>
      <c r="AY408" s="8"/>
      <c r="AZ408" s="8"/>
      <c r="BA408" s="8"/>
      <c r="BC408" s="8"/>
      <c r="BE408" s="8"/>
      <c r="BF408" s="8"/>
      <c r="BG408" s="8"/>
    </row>
    <row r="409" spans="18:59">
      <c r="R409" s="8"/>
      <c r="S409" s="8"/>
      <c r="W409" s="8"/>
      <c r="X409" s="8"/>
      <c r="AE409" s="8"/>
      <c r="AF409" s="8"/>
      <c r="AV409" s="8"/>
      <c r="AW409" s="8"/>
      <c r="AX409" s="8"/>
      <c r="AY409" s="8"/>
      <c r="AZ409" s="8"/>
      <c r="BA409" s="8"/>
      <c r="BC409" s="8"/>
      <c r="BE409" s="8"/>
      <c r="BF409" s="8"/>
      <c r="BG409" s="8"/>
    </row>
    <row r="410" spans="18:59">
      <c r="R410" s="8"/>
      <c r="S410" s="8"/>
      <c r="W410" s="8"/>
      <c r="X410" s="8"/>
      <c r="AE410" s="8"/>
      <c r="AF410" s="8"/>
      <c r="AV410" s="8"/>
      <c r="AW410" s="8"/>
      <c r="AX410" s="8"/>
      <c r="AY410" s="8"/>
      <c r="AZ410" s="8"/>
      <c r="BA410" s="8"/>
      <c r="BC410" s="8"/>
      <c r="BE410" s="8"/>
      <c r="BF410" s="8"/>
      <c r="BG410" s="8"/>
    </row>
    <row r="411" spans="18:59">
      <c r="R411" s="8"/>
      <c r="S411" s="8"/>
      <c r="W411" s="8"/>
      <c r="X411" s="8"/>
      <c r="AE411" s="8"/>
      <c r="AF411" s="8"/>
      <c r="AV411" s="8"/>
      <c r="AW411" s="8"/>
      <c r="AX411" s="8"/>
      <c r="AY411" s="8"/>
      <c r="AZ411" s="8"/>
      <c r="BA411" s="8"/>
      <c r="BC411" s="8"/>
      <c r="BE411" s="8"/>
      <c r="BF411" s="8"/>
      <c r="BG411" s="8"/>
    </row>
    <row r="412" spans="18:59">
      <c r="R412" s="8"/>
      <c r="S412" s="8"/>
      <c r="W412" s="8"/>
      <c r="X412" s="8"/>
      <c r="AE412" s="8"/>
      <c r="AF412" s="8"/>
      <c r="AV412" s="8"/>
      <c r="AW412" s="8"/>
      <c r="AX412" s="8"/>
      <c r="AY412" s="8"/>
      <c r="AZ412" s="8"/>
      <c r="BA412" s="8"/>
      <c r="BC412" s="8"/>
      <c r="BE412" s="8"/>
      <c r="BF412" s="8"/>
      <c r="BG412" s="8"/>
    </row>
    <row r="413" spans="18:59">
      <c r="R413" s="8"/>
      <c r="S413" s="8"/>
      <c r="W413" s="8"/>
      <c r="X413" s="8"/>
      <c r="AE413" s="8"/>
      <c r="AF413" s="8"/>
      <c r="AV413" s="8"/>
      <c r="AW413" s="8"/>
      <c r="AX413" s="8"/>
      <c r="AY413" s="8"/>
      <c r="AZ413" s="8"/>
      <c r="BA413" s="8"/>
      <c r="BC413" s="8"/>
      <c r="BE413" s="8"/>
      <c r="BF413" s="8"/>
      <c r="BG413" s="8"/>
    </row>
    <row r="414" spans="18:59">
      <c r="R414" s="8"/>
      <c r="S414" s="8"/>
      <c r="W414" s="8"/>
      <c r="X414" s="8"/>
      <c r="AE414" s="8"/>
      <c r="AF414" s="8"/>
      <c r="AV414" s="8"/>
      <c r="AW414" s="8"/>
      <c r="AX414" s="8"/>
      <c r="AY414" s="8"/>
      <c r="AZ414" s="8"/>
      <c r="BA414" s="8"/>
      <c r="BC414" s="8"/>
      <c r="BE414" s="8"/>
      <c r="BF414" s="8"/>
      <c r="BG414" s="8"/>
    </row>
    <row r="415" spans="18:59">
      <c r="R415" s="8"/>
      <c r="S415" s="8"/>
      <c r="W415" s="8"/>
      <c r="X415" s="8"/>
      <c r="AE415" s="8"/>
      <c r="AF415" s="8"/>
      <c r="AV415" s="8"/>
      <c r="AW415" s="8"/>
      <c r="AX415" s="8"/>
      <c r="AY415" s="8"/>
      <c r="AZ415" s="8"/>
      <c r="BA415" s="8"/>
      <c r="BC415" s="8"/>
      <c r="BE415" s="8"/>
      <c r="BF415" s="8"/>
      <c r="BG415" s="8"/>
    </row>
    <row r="416" spans="18:59">
      <c r="R416" s="8"/>
      <c r="S416" s="8"/>
      <c r="W416" s="8"/>
      <c r="X416" s="8"/>
      <c r="AE416" s="8"/>
      <c r="AF416" s="8"/>
      <c r="AV416" s="8"/>
      <c r="AW416" s="8"/>
      <c r="AX416" s="8"/>
      <c r="AY416" s="8"/>
      <c r="AZ416" s="8"/>
      <c r="BA416" s="8"/>
      <c r="BC416" s="8"/>
      <c r="BE416" s="8"/>
      <c r="BF416" s="8"/>
      <c r="BG416" s="8"/>
    </row>
    <row r="417" spans="18:59">
      <c r="R417" s="8"/>
      <c r="S417" s="8"/>
      <c r="W417" s="8"/>
      <c r="X417" s="8"/>
      <c r="AE417" s="8"/>
      <c r="AF417" s="8"/>
      <c r="AV417" s="8"/>
      <c r="AW417" s="8"/>
      <c r="AX417" s="8"/>
      <c r="AY417" s="8"/>
      <c r="AZ417" s="8"/>
      <c r="BA417" s="8"/>
      <c r="BC417" s="8"/>
      <c r="BE417" s="8"/>
      <c r="BF417" s="8"/>
      <c r="BG417" s="8"/>
    </row>
    <row r="418" spans="18:59">
      <c r="R418" s="8"/>
      <c r="S418" s="8"/>
      <c r="W418" s="8"/>
      <c r="X418" s="8"/>
      <c r="AE418" s="8"/>
      <c r="AF418" s="8"/>
      <c r="AV418" s="8"/>
      <c r="AW418" s="8"/>
      <c r="AX418" s="8"/>
      <c r="AY418" s="8"/>
      <c r="AZ418" s="8"/>
      <c r="BA418" s="8"/>
      <c r="BC418" s="8"/>
      <c r="BE418" s="8"/>
      <c r="BF418" s="8"/>
      <c r="BG418" s="8"/>
    </row>
    <row r="419" spans="18:59">
      <c r="R419" s="8"/>
      <c r="S419" s="8"/>
      <c r="W419" s="8"/>
      <c r="X419" s="8"/>
      <c r="AE419" s="8"/>
      <c r="AF419" s="8"/>
      <c r="AV419" s="8"/>
      <c r="AW419" s="8"/>
      <c r="AX419" s="8"/>
      <c r="AY419" s="8"/>
      <c r="AZ419" s="8"/>
      <c r="BA419" s="8"/>
      <c r="BC419" s="8"/>
      <c r="BE419" s="8"/>
      <c r="BF419" s="8"/>
      <c r="BG419" s="8"/>
    </row>
    <row r="420" spans="18:59">
      <c r="R420" s="8"/>
      <c r="S420" s="8"/>
      <c r="W420" s="8"/>
      <c r="X420" s="8"/>
      <c r="AE420" s="8"/>
      <c r="AF420" s="8"/>
      <c r="AV420" s="8"/>
      <c r="AW420" s="8"/>
      <c r="AX420" s="8"/>
      <c r="AY420" s="8"/>
      <c r="AZ420" s="8"/>
      <c r="BA420" s="8"/>
      <c r="BC420" s="8"/>
      <c r="BE420" s="8"/>
      <c r="BF420" s="8"/>
      <c r="BG420" s="8"/>
    </row>
    <row r="421" spans="18:59">
      <c r="R421" s="8"/>
      <c r="S421" s="8"/>
      <c r="W421" s="8"/>
      <c r="X421" s="8"/>
      <c r="AE421" s="8"/>
      <c r="AF421" s="8"/>
      <c r="AV421" s="8"/>
      <c r="AW421" s="8"/>
      <c r="AX421" s="8"/>
      <c r="AY421" s="8"/>
      <c r="AZ421" s="8"/>
      <c r="BA421" s="8"/>
      <c r="BC421" s="8"/>
      <c r="BE421" s="8"/>
      <c r="BF421" s="8"/>
      <c r="BG421" s="8"/>
    </row>
    <row r="422" spans="18:59">
      <c r="R422" s="8"/>
      <c r="S422" s="8"/>
      <c r="W422" s="8"/>
      <c r="X422" s="8"/>
      <c r="AE422" s="8"/>
      <c r="AF422" s="8"/>
      <c r="AV422" s="8"/>
      <c r="AW422" s="8"/>
      <c r="AX422" s="8"/>
      <c r="AY422" s="8"/>
      <c r="AZ422" s="8"/>
      <c r="BA422" s="8"/>
      <c r="BC422" s="8"/>
      <c r="BE422" s="8"/>
      <c r="BF422" s="8"/>
      <c r="BG422" s="8"/>
    </row>
    <row r="423" spans="18:59">
      <c r="R423" s="8"/>
      <c r="S423" s="8"/>
      <c r="W423" s="8"/>
      <c r="X423" s="8"/>
      <c r="AE423" s="8"/>
      <c r="AF423" s="8"/>
      <c r="AV423" s="8"/>
      <c r="AW423" s="8"/>
      <c r="AX423" s="8"/>
      <c r="AY423" s="8"/>
      <c r="AZ423" s="8"/>
      <c r="BA423" s="8"/>
      <c r="BC423" s="8"/>
      <c r="BE423" s="8"/>
      <c r="BF423" s="8"/>
      <c r="BG423" s="8"/>
    </row>
    <row r="424" spans="18:59">
      <c r="R424" s="8"/>
      <c r="S424" s="8"/>
      <c r="W424" s="8"/>
      <c r="X424" s="8"/>
      <c r="AE424" s="8"/>
      <c r="AF424" s="8"/>
      <c r="AV424" s="8"/>
      <c r="AW424" s="8"/>
      <c r="AX424" s="8"/>
      <c r="AY424" s="8"/>
      <c r="AZ424" s="8"/>
      <c r="BA424" s="8"/>
      <c r="BC424" s="8"/>
      <c r="BE424" s="8"/>
      <c r="BF424" s="8"/>
      <c r="BG424" s="8"/>
    </row>
    <row r="425" spans="18:59">
      <c r="R425" s="8"/>
      <c r="S425" s="8"/>
      <c r="W425" s="8"/>
      <c r="X425" s="8"/>
      <c r="AE425" s="8"/>
      <c r="AF425" s="8"/>
      <c r="AV425" s="8"/>
      <c r="AW425" s="8"/>
      <c r="AX425" s="8"/>
      <c r="AY425" s="8"/>
      <c r="AZ425" s="8"/>
      <c r="BA425" s="8"/>
      <c r="BC425" s="8"/>
      <c r="BE425" s="8"/>
      <c r="BF425" s="8"/>
      <c r="BG425" s="8"/>
    </row>
    <row r="426" spans="18:59">
      <c r="R426" s="8"/>
      <c r="S426" s="8"/>
      <c r="W426" s="8"/>
      <c r="X426" s="8"/>
      <c r="AE426" s="8"/>
      <c r="AF426" s="8"/>
      <c r="AV426" s="8"/>
      <c r="AW426" s="8"/>
      <c r="AX426" s="8"/>
      <c r="AY426" s="8"/>
      <c r="AZ426" s="8"/>
      <c r="BA426" s="8"/>
      <c r="BC426" s="8"/>
      <c r="BE426" s="8"/>
      <c r="BF426" s="8"/>
      <c r="BG426" s="8"/>
    </row>
    <row r="427" spans="18:59">
      <c r="R427" s="8"/>
      <c r="S427" s="8"/>
      <c r="W427" s="8"/>
      <c r="X427" s="8"/>
      <c r="AE427" s="8"/>
      <c r="AF427" s="8"/>
      <c r="AV427" s="8"/>
      <c r="AW427" s="8"/>
      <c r="AX427" s="8"/>
      <c r="AY427" s="8"/>
      <c r="AZ427" s="8"/>
      <c r="BA427" s="8"/>
      <c r="BC427" s="8"/>
      <c r="BE427" s="8"/>
      <c r="BF427" s="8"/>
      <c r="BG427" s="8"/>
    </row>
    <row r="428" spans="18:59">
      <c r="R428" s="8"/>
      <c r="S428" s="8"/>
      <c r="W428" s="8"/>
      <c r="X428" s="8"/>
      <c r="AE428" s="8"/>
      <c r="AF428" s="8"/>
      <c r="AV428" s="8"/>
      <c r="AW428" s="8"/>
      <c r="AX428" s="8"/>
      <c r="AY428" s="8"/>
      <c r="AZ428" s="8"/>
      <c r="BA428" s="8"/>
      <c r="BC428" s="8"/>
      <c r="BE428" s="8"/>
      <c r="BF428" s="8"/>
      <c r="BG428" s="8"/>
    </row>
    <row r="429" spans="18:59">
      <c r="R429" s="8"/>
      <c r="S429" s="8"/>
      <c r="W429" s="8"/>
      <c r="X429" s="8"/>
      <c r="AE429" s="8"/>
      <c r="AF429" s="8"/>
      <c r="AV429" s="8"/>
      <c r="AW429" s="8"/>
      <c r="AX429" s="8"/>
      <c r="AY429" s="8"/>
      <c r="AZ429" s="8"/>
      <c r="BA429" s="8"/>
      <c r="BC429" s="8"/>
      <c r="BE429" s="8"/>
      <c r="BF429" s="8"/>
      <c r="BG429" s="8"/>
    </row>
    <row r="430" spans="18:59">
      <c r="R430" s="8"/>
      <c r="S430" s="8"/>
      <c r="W430" s="8"/>
      <c r="X430" s="8"/>
      <c r="AE430" s="8"/>
      <c r="AF430" s="8"/>
      <c r="AV430" s="8"/>
      <c r="AW430" s="8"/>
      <c r="AX430" s="8"/>
      <c r="AY430" s="8"/>
      <c r="AZ430" s="8"/>
      <c r="BA430" s="8"/>
      <c r="BC430" s="8"/>
      <c r="BE430" s="8"/>
      <c r="BF430" s="8"/>
      <c r="BG430" s="8"/>
    </row>
    <row r="431" spans="18:59">
      <c r="R431" s="8"/>
      <c r="S431" s="8"/>
      <c r="W431" s="8"/>
      <c r="X431" s="8"/>
      <c r="AE431" s="8"/>
      <c r="AF431" s="8"/>
      <c r="AV431" s="8"/>
      <c r="AW431" s="8"/>
      <c r="AX431" s="8"/>
      <c r="AY431" s="8"/>
      <c r="AZ431" s="8"/>
      <c r="BA431" s="8"/>
      <c r="BC431" s="8"/>
      <c r="BE431" s="8"/>
      <c r="BF431" s="8"/>
      <c r="BG431" s="8"/>
    </row>
    <row r="432" spans="18:59">
      <c r="R432" s="8"/>
      <c r="S432" s="8"/>
      <c r="W432" s="8"/>
      <c r="X432" s="8"/>
      <c r="AE432" s="8"/>
      <c r="AF432" s="8"/>
      <c r="AV432" s="8"/>
      <c r="AW432" s="8"/>
      <c r="AX432" s="8"/>
      <c r="AY432" s="8"/>
      <c r="AZ432" s="8"/>
      <c r="BA432" s="8"/>
      <c r="BC432" s="8"/>
      <c r="BE432" s="8"/>
      <c r="BF432" s="8"/>
      <c r="BG432" s="8"/>
    </row>
    <row r="433" spans="18:59">
      <c r="R433" s="8"/>
      <c r="S433" s="8"/>
      <c r="W433" s="8"/>
      <c r="X433" s="8"/>
      <c r="AE433" s="8"/>
      <c r="AF433" s="8"/>
      <c r="AV433" s="8"/>
      <c r="AW433" s="8"/>
      <c r="AX433" s="8"/>
      <c r="AY433" s="8"/>
      <c r="AZ433" s="8"/>
      <c r="BA433" s="8"/>
      <c r="BC433" s="8"/>
      <c r="BE433" s="8"/>
      <c r="BF433" s="8"/>
      <c r="BG433" s="8"/>
    </row>
    <row r="434" spans="18:59">
      <c r="R434" s="8"/>
      <c r="S434" s="8"/>
      <c r="W434" s="8"/>
      <c r="X434" s="8"/>
      <c r="AE434" s="8"/>
      <c r="AF434" s="8"/>
      <c r="AV434" s="8"/>
      <c r="AW434" s="8"/>
      <c r="AX434" s="8"/>
      <c r="AY434" s="8"/>
      <c r="AZ434" s="8"/>
      <c r="BA434" s="8"/>
      <c r="BC434" s="8"/>
      <c r="BE434" s="8"/>
      <c r="BF434" s="8"/>
      <c r="BG434" s="8"/>
    </row>
    <row r="435" spans="18:59">
      <c r="R435" s="8"/>
      <c r="S435" s="8"/>
      <c r="W435" s="8"/>
      <c r="X435" s="8"/>
      <c r="AE435" s="8"/>
      <c r="AF435" s="8"/>
      <c r="AV435" s="8"/>
      <c r="AW435" s="8"/>
      <c r="AX435" s="8"/>
      <c r="AY435" s="8"/>
      <c r="AZ435" s="8"/>
      <c r="BA435" s="8"/>
      <c r="BC435" s="8"/>
      <c r="BE435" s="8"/>
      <c r="BF435" s="8"/>
      <c r="BG435" s="8"/>
    </row>
    <row r="436" spans="18:59">
      <c r="R436" s="8"/>
      <c r="S436" s="8"/>
      <c r="W436" s="8"/>
      <c r="X436" s="8"/>
      <c r="AE436" s="8"/>
      <c r="AF436" s="8"/>
      <c r="AV436" s="8"/>
      <c r="AW436" s="8"/>
      <c r="AX436" s="8"/>
      <c r="AY436" s="8"/>
      <c r="AZ436" s="8"/>
      <c r="BA436" s="8"/>
      <c r="BC436" s="8"/>
      <c r="BE436" s="8"/>
      <c r="BF436" s="8"/>
      <c r="BG436" s="8"/>
    </row>
    <row r="437" spans="18:59">
      <c r="R437" s="8"/>
      <c r="S437" s="8"/>
      <c r="W437" s="8"/>
      <c r="X437" s="8"/>
      <c r="AE437" s="8"/>
      <c r="AF437" s="8"/>
      <c r="AV437" s="8"/>
      <c r="AW437" s="8"/>
      <c r="AX437" s="8"/>
      <c r="AY437" s="8"/>
      <c r="AZ437" s="8"/>
      <c r="BA437" s="8"/>
      <c r="BC437" s="8"/>
      <c r="BE437" s="8"/>
      <c r="BF437" s="8"/>
      <c r="BG437" s="8"/>
    </row>
    <row r="438" spans="18:59">
      <c r="R438" s="8"/>
      <c r="S438" s="8"/>
      <c r="W438" s="8"/>
      <c r="X438" s="8"/>
      <c r="AE438" s="8"/>
      <c r="AF438" s="8"/>
      <c r="AV438" s="8"/>
      <c r="AW438" s="8"/>
      <c r="AX438" s="8"/>
      <c r="AY438" s="8"/>
      <c r="AZ438" s="8"/>
      <c r="BA438" s="8"/>
      <c r="BC438" s="8"/>
      <c r="BE438" s="8"/>
      <c r="BF438" s="8"/>
      <c r="BG438" s="8"/>
    </row>
    <row r="439" spans="18:59">
      <c r="R439" s="8"/>
      <c r="S439" s="8"/>
      <c r="W439" s="8"/>
      <c r="X439" s="8"/>
      <c r="AE439" s="8"/>
      <c r="AF439" s="8"/>
      <c r="AV439" s="8"/>
      <c r="AW439" s="8"/>
      <c r="AX439" s="8"/>
      <c r="AY439" s="8"/>
      <c r="AZ439" s="8"/>
      <c r="BA439" s="8"/>
      <c r="BC439" s="8"/>
      <c r="BE439" s="8"/>
      <c r="BF439" s="8"/>
      <c r="BG439" s="8"/>
    </row>
    <row r="440" spans="18:59">
      <c r="R440" s="8"/>
      <c r="S440" s="8"/>
      <c r="W440" s="8"/>
      <c r="X440" s="8"/>
      <c r="AE440" s="8"/>
      <c r="AF440" s="8"/>
      <c r="AV440" s="8"/>
      <c r="AW440" s="8"/>
      <c r="AX440" s="8"/>
      <c r="AY440" s="8"/>
      <c r="AZ440" s="8"/>
      <c r="BA440" s="8"/>
      <c r="BC440" s="8"/>
      <c r="BE440" s="8"/>
      <c r="BF440" s="8"/>
      <c r="BG440" s="8"/>
    </row>
    <row r="441" spans="18:59">
      <c r="R441" s="8"/>
      <c r="S441" s="8"/>
      <c r="W441" s="8"/>
      <c r="X441" s="8"/>
      <c r="AE441" s="8"/>
      <c r="AF441" s="8"/>
      <c r="AV441" s="8"/>
      <c r="AW441" s="8"/>
      <c r="AX441" s="8"/>
      <c r="AY441" s="8"/>
      <c r="AZ441" s="8"/>
      <c r="BA441" s="8"/>
      <c r="BC441" s="8"/>
      <c r="BE441" s="8"/>
      <c r="BF441" s="8"/>
      <c r="BG441" s="8"/>
    </row>
    <row r="442" spans="18:59">
      <c r="R442" s="8"/>
      <c r="S442" s="8"/>
      <c r="W442" s="8"/>
      <c r="X442" s="8"/>
      <c r="AE442" s="8"/>
      <c r="AF442" s="8"/>
      <c r="AV442" s="8"/>
      <c r="AW442" s="8"/>
      <c r="AX442" s="8"/>
      <c r="AY442" s="8"/>
      <c r="AZ442" s="8"/>
      <c r="BA442" s="8"/>
      <c r="BC442" s="8"/>
      <c r="BE442" s="8"/>
      <c r="BF442" s="8"/>
      <c r="BG442" s="8"/>
    </row>
    <row r="443" spans="18:59">
      <c r="R443" s="8"/>
      <c r="S443" s="8"/>
      <c r="W443" s="8"/>
      <c r="X443" s="8"/>
      <c r="AE443" s="8"/>
      <c r="AF443" s="8"/>
      <c r="AV443" s="8"/>
      <c r="AW443" s="8"/>
      <c r="AX443" s="8"/>
      <c r="AY443" s="8"/>
      <c r="AZ443" s="8"/>
      <c r="BA443" s="8"/>
      <c r="BC443" s="8"/>
      <c r="BE443" s="8"/>
      <c r="BF443" s="8"/>
      <c r="BG443" s="8"/>
    </row>
    <row r="444" spans="18:59">
      <c r="R444" s="8"/>
      <c r="S444" s="8"/>
      <c r="W444" s="8"/>
      <c r="X444" s="8"/>
      <c r="AE444" s="8"/>
      <c r="AF444" s="8"/>
      <c r="AV444" s="8"/>
      <c r="AW444" s="8"/>
      <c r="AX444" s="8"/>
      <c r="AY444" s="8"/>
      <c r="AZ444" s="8"/>
      <c r="BA444" s="8"/>
      <c r="BC444" s="8"/>
      <c r="BE444" s="8"/>
      <c r="BF444" s="8"/>
      <c r="BG444" s="8"/>
    </row>
    <row r="445" spans="18:59">
      <c r="R445" s="8"/>
      <c r="S445" s="8"/>
      <c r="W445" s="8"/>
      <c r="X445" s="8"/>
      <c r="AE445" s="8"/>
      <c r="AF445" s="8"/>
      <c r="AV445" s="8"/>
      <c r="AW445" s="8"/>
      <c r="AX445" s="8"/>
      <c r="AY445" s="8"/>
      <c r="AZ445" s="8"/>
      <c r="BA445" s="8"/>
      <c r="BC445" s="8"/>
      <c r="BE445" s="8"/>
      <c r="BF445" s="8"/>
      <c r="BG445" s="8"/>
    </row>
    <row r="446" spans="18:59">
      <c r="R446" s="8"/>
      <c r="S446" s="8"/>
      <c r="W446" s="8"/>
      <c r="X446" s="8"/>
      <c r="AE446" s="8"/>
      <c r="AF446" s="8"/>
      <c r="AV446" s="8"/>
      <c r="AW446" s="8"/>
      <c r="AX446" s="8"/>
      <c r="AY446" s="8"/>
      <c r="AZ446" s="8"/>
      <c r="BA446" s="8"/>
      <c r="BC446" s="8"/>
      <c r="BE446" s="8"/>
      <c r="BF446" s="8"/>
      <c r="BG446" s="8"/>
    </row>
    <row r="447" spans="18:59">
      <c r="R447" s="8"/>
      <c r="S447" s="8"/>
      <c r="W447" s="8"/>
      <c r="X447" s="8"/>
      <c r="AE447" s="8"/>
      <c r="AF447" s="8"/>
      <c r="AV447" s="8"/>
      <c r="AW447" s="8"/>
      <c r="AX447" s="8"/>
      <c r="AY447" s="8"/>
      <c r="AZ447" s="8"/>
      <c r="BA447" s="8"/>
      <c r="BC447" s="8"/>
      <c r="BE447" s="8"/>
      <c r="BF447" s="8"/>
      <c r="BG447" s="8"/>
    </row>
    <row r="448" spans="18:59">
      <c r="R448" s="8"/>
      <c r="S448" s="8"/>
      <c r="W448" s="8"/>
      <c r="X448" s="8"/>
      <c r="AE448" s="8"/>
      <c r="AF448" s="8"/>
      <c r="AV448" s="8"/>
      <c r="AW448" s="8"/>
      <c r="AX448" s="8"/>
      <c r="AY448" s="8"/>
      <c r="AZ448" s="8"/>
      <c r="BA448" s="8"/>
      <c r="BC448" s="8"/>
      <c r="BE448" s="8"/>
      <c r="BF448" s="8"/>
      <c r="BG448" s="8"/>
    </row>
    <row r="449" spans="18:59">
      <c r="R449" s="8"/>
      <c r="S449" s="8"/>
      <c r="W449" s="8"/>
      <c r="X449" s="8"/>
      <c r="AE449" s="8"/>
      <c r="AF449" s="8"/>
      <c r="AV449" s="8"/>
      <c r="AW449" s="8"/>
      <c r="AX449" s="8"/>
      <c r="AY449" s="8"/>
      <c r="AZ449" s="8"/>
      <c r="BA449" s="8"/>
      <c r="BC449" s="8"/>
      <c r="BE449" s="8"/>
      <c r="BF449" s="8"/>
      <c r="BG449" s="8"/>
    </row>
    <row r="450" spans="18:59">
      <c r="R450" s="8"/>
      <c r="S450" s="8"/>
      <c r="W450" s="8"/>
      <c r="X450" s="8"/>
      <c r="AE450" s="8"/>
      <c r="AF450" s="8"/>
      <c r="AV450" s="8"/>
      <c r="AW450" s="8"/>
      <c r="AX450" s="8"/>
      <c r="AY450" s="8"/>
      <c r="AZ450" s="8"/>
      <c r="BA450" s="8"/>
      <c r="BC450" s="8"/>
      <c r="BE450" s="8"/>
      <c r="BF450" s="8"/>
      <c r="BG450" s="8"/>
    </row>
    <row r="451" spans="18:59">
      <c r="R451" s="8"/>
      <c r="S451" s="8"/>
      <c r="W451" s="8"/>
      <c r="X451" s="8"/>
      <c r="AE451" s="8"/>
      <c r="AF451" s="8"/>
      <c r="AV451" s="8"/>
      <c r="AW451" s="8"/>
      <c r="AX451" s="8"/>
      <c r="AY451" s="8"/>
      <c r="AZ451" s="8"/>
      <c r="BA451" s="8"/>
      <c r="BC451" s="8"/>
      <c r="BE451" s="8"/>
      <c r="BF451" s="8"/>
      <c r="BG451" s="8"/>
    </row>
    <row r="452" spans="18:59">
      <c r="R452" s="8"/>
      <c r="S452" s="8"/>
      <c r="W452" s="8"/>
      <c r="X452" s="8"/>
      <c r="AE452" s="8"/>
      <c r="AF452" s="8"/>
      <c r="AV452" s="8"/>
      <c r="AW452" s="8"/>
      <c r="AX452" s="8"/>
      <c r="AY452" s="8"/>
      <c r="AZ452" s="8"/>
      <c r="BA452" s="8"/>
      <c r="BC452" s="8"/>
      <c r="BE452" s="8"/>
      <c r="BF452" s="8"/>
      <c r="BG452" s="8"/>
    </row>
    <row r="453" spans="18:59">
      <c r="R453" s="8"/>
      <c r="S453" s="8"/>
      <c r="W453" s="8"/>
      <c r="X453" s="8"/>
      <c r="AE453" s="8"/>
      <c r="AF453" s="8"/>
      <c r="AV453" s="8"/>
      <c r="AW453" s="8"/>
      <c r="AX453" s="8"/>
      <c r="AY453" s="8"/>
      <c r="AZ453" s="8"/>
      <c r="BA453" s="8"/>
      <c r="BC453" s="8"/>
      <c r="BE453" s="8"/>
      <c r="BF453" s="8"/>
      <c r="BG453" s="8"/>
    </row>
    <row r="454" spans="18:59">
      <c r="R454" s="8"/>
      <c r="S454" s="8"/>
      <c r="W454" s="8"/>
      <c r="X454" s="8"/>
      <c r="AE454" s="8"/>
      <c r="AF454" s="8"/>
      <c r="AV454" s="8"/>
      <c r="AW454" s="8"/>
      <c r="AX454" s="8"/>
      <c r="AY454" s="8"/>
      <c r="AZ454" s="8"/>
      <c r="BA454" s="8"/>
      <c r="BC454" s="8"/>
      <c r="BE454" s="8"/>
      <c r="BF454" s="8"/>
      <c r="BG454" s="8"/>
    </row>
    <row r="455" spans="18:59">
      <c r="R455" s="8"/>
      <c r="S455" s="8"/>
      <c r="W455" s="8"/>
      <c r="X455" s="8"/>
      <c r="AE455" s="8"/>
      <c r="AF455" s="8"/>
      <c r="AV455" s="8"/>
      <c r="AW455" s="8"/>
      <c r="AX455" s="8"/>
      <c r="AY455" s="8"/>
      <c r="AZ455" s="8"/>
      <c r="BA455" s="8"/>
      <c r="BC455" s="8"/>
      <c r="BE455" s="8"/>
      <c r="BF455" s="8"/>
      <c r="BG455" s="8"/>
    </row>
    <row r="456" spans="18:59">
      <c r="R456" s="8"/>
      <c r="S456" s="8"/>
      <c r="W456" s="8"/>
      <c r="X456" s="8"/>
      <c r="AE456" s="8"/>
      <c r="AF456" s="8"/>
      <c r="AV456" s="8"/>
      <c r="AW456" s="8"/>
      <c r="AX456" s="8"/>
      <c r="AY456" s="8"/>
      <c r="AZ456" s="8"/>
      <c r="BA456" s="8"/>
      <c r="BC456" s="8"/>
      <c r="BE456" s="8"/>
      <c r="BF456" s="8"/>
      <c r="BG456" s="8"/>
    </row>
    <row r="457" spans="18:59">
      <c r="R457" s="8"/>
      <c r="S457" s="8"/>
      <c r="W457" s="8"/>
      <c r="X457" s="8"/>
      <c r="AE457" s="8"/>
      <c r="AF457" s="8"/>
      <c r="AV457" s="8"/>
      <c r="AW457" s="8"/>
      <c r="AX457" s="8"/>
      <c r="AY457" s="8"/>
      <c r="AZ457" s="8"/>
      <c r="BA457" s="8"/>
      <c r="BC457" s="8"/>
      <c r="BE457" s="8"/>
      <c r="BF457" s="8"/>
      <c r="BG457" s="8"/>
    </row>
    <row r="458" spans="18:59">
      <c r="R458" s="8"/>
      <c r="S458" s="8"/>
      <c r="W458" s="8"/>
      <c r="X458" s="8"/>
      <c r="AE458" s="8"/>
      <c r="AF458" s="8"/>
      <c r="AV458" s="8"/>
      <c r="AW458" s="8"/>
      <c r="AX458" s="8"/>
      <c r="AY458" s="8"/>
      <c r="AZ458" s="8"/>
      <c r="BA458" s="8"/>
      <c r="BC458" s="8"/>
      <c r="BE458" s="8"/>
      <c r="BF458" s="8"/>
      <c r="BG458" s="8"/>
    </row>
    <row r="459" spans="18:59">
      <c r="R459" s="8"/>
      <c r="S459" s="8"/>
      <c r="W459" s="8"/>
      <c r="X459" s="8"/>
      <c r="AE459" s="8"/>
      <c r="AF459" s="8"/>
      <c r="AV459" s="8"/>
      <c r="AW459" s="8"/>
      <c r="AX459" s="8"/>
      <c r="AY459" s="8"/>
      <c r="AZ459" s="8"/>
      <c r="BA459" s="8"/>
      <c r="BC459" s="8"/>
      <c r="BE459" s="8"/>
      <c r="BF459" s="8"/>
      <c r="BG459" s="8"/>
    </row>
    <row r="460" spans="18:59">
      <c r="R460" s="8"/>
      <c r="S460" s="8"/>
      <c r="W460" s="8"/>
      <c r="X460" s="8"/>
      <c r="AE460" s="8"/>
      <c r="AF460" s="8"/>
      <c r="AV460" s="8"/>
      <c r="AW460" s="8"/>
      <c r="AX460" s="8"/>
      <c r="AY460" s="8"/>
      <c r="AZ460" s="8"/>
      <c r="BA460" s="8"/>
      <c r="BC460" s="8"/>
      <c r="BE460" s="8"/>
      <c r="BF460" s="8"/>
      <c r="BG460" s="8"/>
    </row>
    <row r="461" spans="18:59">
      <c r="R461" s="8"/>
      <c r="S461" s="8"/>
      <c r="W461" s="8"/>
      <c r="X461" s="8"/>
      <c r="AE461" s="8"/>
      <c r="AF461" s="8"/>
      <c r="AV461" s="8"/>
      <c r="AW461" s="8"/>
      <c r="AX461" s="8"/>
      <c r="AY461" s="8"/>
      <c r="AZ461" s="8"/>
      <c r="BA461" s="8"/>
      <c r="BC461" s="8"/>
      <c r="BE461" s="8"/>
      <c r="BF461" s="8"/>
      <c r="BG461" s="8"/>
    </row>
    <row r="462" spans="18:59">
      <c r="R462" s="8"/>
      <c r="S462" s="8"/>
      <c r="W462" s="8"/>
      <c r="X462" s="8"/>
      <c r="AE462" s="8"/>
      <c r="AF462" s="8"/>
      <c r="AV462" s="8"/>
      <c r="AW462" s="8"/>
      <c r="AX462" s="8"/>
      <c r="AY462" s="8"/>
      <c r="AZ462" s="8"/>
      <c r="BA462" s="8"/>
      <c r="BC462" s="8"/>
      <c r="BE462" s="8"/>
      <c r="BF462" s="8"/>
      <c r="BG462" s="8"/>
    </row>
    <row r="463" spans="18:59">
      <c r="R463" s="8"/>
      <c r="S463" s="8"/>
      <c r="W463" s="8"/>
      <c r="X463" s="8"/>
      <c r="AE463" s="8"/>
      <c r="AF463" s="8"/>
      <c r="AV463" s="8"/>
      <c r="AW463" s="8"/>
      <c r="AX463" s="8"/>
      <c r="AY463" s="8"/>
      <c r="AZ463" s="8"/>
      <c r="BA463" s="8"/>
      <c r="BC463" s="8"/>
      <c r="BE463" s="8"/>
      <c r="BF463" s="8"/>
      <c r="BG463" s="8"/>
    </row>
    <row r="464" spans="18:59">
      <c r="R464" s="8"/>
      <c r="S464" s="8"/>
      <c r="W464" s="8"/>
      <c r="X464" s="8"/>
      <c r="AE464" s="8"/>
      <c r="AF464" s="8"/>
      <c r="AV464" s="8"/>
      <c r="AW464" s="8"/>
      <c r="AX464" s="8"/>
      <c r="AY464" s="8"/>
      <c r="AZ464" s="8"/>
      <c r="BA464" s="8"/>
      <c r="BC464" s="8"/>
      <c r="BE464" s="8"/>
      <c r="BF464" s="8"/>
      <c r="BG464" s="8"/>
    </row>
    <row r="465" spans="18:59">
      <c r="R465" s="8"/>
      <c r="S465" s="8"/>
      <c r="W465" s="8"/>
      <c r="X465" s="8"/>
      <c r="AE465" s="8"/>
      <c r="AF465" s="8"/>
      <c r="AV465" s="8"/>
      <c r="AW465" s="8"/>
      <c r="AX465" s="8"/>
      <c r="AY465" s="8"/>
      <c r="AZ465" s="8"/>
      <c r="BA465" s="8"/>
      <c r="BC465" s="8"/>
      <c r="BE465" s="8"/>
      <c r="BF465" s="8"/>
      <c r="BG465" s="8"/>
    </row>
    <row r="466" spans="18:59">
      <c r="R466" s="8"/>
      <c r="S466" s="8"/>
      <c r="W466" s="8"/>
      <c r="X466" s="8"/>
      <c r="AE466" s="8"/>
      <c r="AF466" s="8"/>
      <c r="AV466" s="8"/>
      <c r="AW466" s="8"/>
      <c r="AX466" s="8"/>
      <c r="AY466" s="8"/>
      <c r="AZ466" s="8"/>
      <c r="BA466" s="8"/>
      <c r="BC466" s="8"/>
      <c r="BE466" s="8"/>
      <c r="BF466" s="8"/>
      <c r="BG466" s="8"/>
    </row>
    <row r="467" spans="18:59">
      <c r="R467" s="8"/>
      <c r="S467" s="8"/>
      <c r="W467" s="8"/>
      <c r="X467" s="8"/>
      <c r="AE467" s="8"/>
      <c r="AF467" s="8"/>
      <c r="AV467" s="8"/>
      <c r="AW467" s="8"/>
      <c r="AX467" s="8"/>
      <c r="AY467" s="8"/>
      <c r="AZ467" s="8"/>
      <c r="BA467" s="8"/>
      <c r="BC467" s="8"/>
      <c r="BE467" s="8"/>
      <c r="BF467" s="8"/>
      <c r="BG467" s="8"/>
    </row>
    <row r="468" spans="18:59">
      <c r="R468" s="8"/>
      <c r="S468" s="8"/>
      <c r="W468" s="8"/>
      <c r="X468" s="8"/>
      <c r="AE468" s="8"/>
      <c r="AF468" s="8"/>
      <c r="AV468" s="8"/>
      <c r="AW468" s="8"/>
      <c r="AX468" s="8"/>
      <c r="AY468" s="8"/>
      <c r="AZ468" s="8"/>
      <c r="BA468" s="8"/>
      <c r="BC468" s="8"/>
      <c r="BE468" s="8"/>
      <c r="BF468" s="8"/>
      <c r="BG468" s="8"/>
    </row>
    <row r="469" spans="18:59">
      <c r="R469" s="8"/>
      <c r="S469" s="8"/>
      <c r="W469" s="8"/>
      <c r="X469" s="8"/>
      <c r="AE469" s="8"/>
      <c r="AF469" s="8"/>
      <c r="AV469" s="8"/>
      <c r="AW469" s="8"/>
      <c r="AX469" s="8"/>
      <c r="AY469" s="8"/>
      <c r="AZ469" s="8"/>
      <c r="BA469" s="8"/>
      <c r="BC469" s="8"/>
      <c r="BE469" s="8"/>
      <c r="BF469" s="8"/>
      <c r="BG469" s="8"/>
    </row>
    <row r="470" spans="18:59">
      <c r="R470" s="8"/>
      <c r="S470" s="8"/>
      <c r="W470" s="8"/>
      <c r="X470" s="8"/>
      <c r="AE470" s="8"/>
      <c r="AF470" s="8"/>
      <c r="AV470" s="8"/>
      <c r="AW470" s="8"/>
      <c r="AX470" s="8"/>
      <c r="AY470" s="8"/>
      <c r="AZ470" s="8"/>
      <c r="BA470" s="8"/>
      <c r="BC470" s="8"/>
      <c r="BE470" s="8"/>
      <c r="BF470" s="8"/>
      <c r="BG470" s="8"/>
    </row>
    <row r="471" spans="18:59">
      <c r="R471" s="8"/>
      <c r="S471" s="8"/>
      <c r="W471" s="8"/>
      <c r="X471" s="8"/>
      <c r="AE471" s="8"/>
      <c r="AF471" s="8"/>
      <c r="AV471" s="8"/>
      <c r="AW471" s="8"/>
      <c r="AX471" s="8"/>
      <c r="AY471" s="8"/>
      <c r="AZ471" s="8"/>
      <c r="BA471" s="8"/>
      <c r="BC471" s="8"/>
      <c r="BE471" s="8"/>
      <c r="BF471" s="8"/>
      <c r="BG471" s="8"/>
    </row>
    <row r="472" spans="18:59">
      <c r="R472" s="8"/>
      <c r="S472" s="8"/>
      <c r="W472" s="8"/>
      <c r="X472" s="8"/>
      <c r="AE472" s="8"/>
      <c r="AF472" s="8"/>
      <c r="AV472" s="8"/>
      <c r="AW472" s="8"/>
      <c r="AX472" s="8"/>
      <c r="AY472" s="8"/>
      <c r="AZ472" s="8"/>
      <c r="BA472" s="8"/>
      <c r="BC472" s="8"/>
      <c r="BE472" s="8"/>
      <c r="BF472" s="8"/>
      <c r="BG472" s="8"/>
    </row>
    <row r="473" spans="18:59">
      <c r="R473" s="8"/>
      <c r="S473" s="8"/>
      <c r="W473" s="8"/>
      <c r="X473" s="8"/>
      <c r="AE473" s="8"/>
      <c r="AF473" s="8"/>
      <c r="AV473" s="8"/>
      <c r="AW473" s="8"/>
      <c r="AX473" s="8"/>
      <c r="AY473" s="8"/>
      <c r="AZ473" s="8"/>
      <c r="BA473" s="8"/>
      <c r="BC473" s="8"/>
      <c r="BE473" s="8"/>
      <c r="BF473" s="8"/>
      <c r="BG473" s="8"/>
    </row>
    <row r="474" spans="18:59">
      <c r="R474" s="8"/>
      <c r="S474" s="8"/>
      <c r="W474" s="8"/>
      <c r="X474" s="8"/>
      <c r="AE474" s="8"/>
      <c r="AF474" s="8"/>
      <c r="AV474" s="8"/>
      <c r="AW474" s="8"/>
      <c r="AX474" s="8"/>
      <c r="AY474" s="8"/>
      <c r="AZ474" s="8"/>
      <c r="BA474" s="8"/>
      <c r="BC474" s="8"/>
      <c r="BE474" s="8"/>
      <c r="BF474" s="8"/>
      <c r="BG474" s="8"/>
    </row>
    <row r="475" spans="18:59">
      <c r="R475" s="8"/>
      <c r="S475" s="8"/>
      <c r="W475" s="8"/>
      <c r="X475" s="8"/>
      <c r="AE475" s="8"/>
      <c r="AF475" s="8"/>
      <c r="AV475" s="8"/>
      <c r="AW475" s="8"/>
      <c r="AX475" s="8"/>
      <c r="AY475" s="8"/>
      <c r="AZ475" s="8"/>
      <c r="BA475" s="8"/>
      <c r="BC475" s="8"/>
      <c r="BE475" s="8"/>
      <c r="BF475" s="8"/>
      <c r="BG475" s="8"/>
    </row>
    <row r="476" spans="18:59">
      <c r="R476" s="8"/>
      <c r="S476" s="8"/>
      <c r="W476" s="8"/>
      <c r="X476" s="8"/>
      <c r="AE476" s="8"/>
      <c r="AF476" s="8"/>
      <c r="AV476" s="8"/>
      <c r="AW476" s="8"/>
      <c r="AX476" s="8"/>
      <c r="AY476" s="8"/>
      <c r="AZ476" s="8"/>
      <c r="BA476" s="8"/>
      <c r="BC476" s="8"/>
      <c r="BE476" s="8"/>
      <c r="BF476" s="8"/>
      <c r="BG476" s="8"/>
    </row>
    <row r="477" spans="18:59">
      <c r="R477" s="8"/>
      <c r="S477" s="8"/>
      <c r="W477" s="8"/>
      <c r="X477" s="8"/>
      <c r="AE477" s="8"/>
      <c r="AF477" s="8"/>
      <c r="AV477" s="8"/>
      <c r="AW477" s="8"/>
      <c r="AX477" s="8"/>
      <c r="AY477" s="8"/>
      <c r="AZ477" s="8"/>
      <c r="BA477" s="8"/>
      <c r="BC477" s="8"/>
      <c r="BE477" s="8"/>
      <c r="BF477" s="8"/>
      <c r="BG477" s="8"/>
    </row>
    <row r="478" spans="18:59">
      <c r="R478" s="8"/>
      <c r="S478" s="8"/>
      <c r="W478" s="8"/>
      <c r="X478" s="8"/>
      <c r="AE478" s="8"/>
      <c r="AF478" s="8"/>
      <c r="AV478" s="8"/>
      <c r="AW478" s="8"/>
      <c r="AX478" s="8"/>
      <c r="AY478" s="8"/>
      <c r="AZ478" s="8"/>
      <c r="BA478" s="8"/>
      <c r="BC478" s="8"/>
      <c r="BE478" s="8"/>
      <c r="BF478" s="8"/>
      <c r="BG478" s="8"/>
    </row>
    <row r="479" spans="18:59">
      <c r="R479" s="8"/>
      <c r="S479" s="8"/>
      <c r="W479" s="8"/>
      <c r="X479" s="8"/>
      <c r="AE479" s="8"/>
      <c r="AF479" s="8"/>
      <c r="AV479" s="8"/>
      <c r="AW479" s="8"/>
      <c r="AX479" s="8"/>
      <c r="AY479" s="8"/>
      <c r="AZ479" s="8"/>
      <c r="BA479" s="8"/>
      <c r="BC479" s="8"/>
      <c r="BE479" s="8"/>
      <c r="BF479" s="8"/>
      <c r="BG479" s="8"/>
    </row>
    <row r="480" spans="18:59">
      <c r="R480" s="8"/>
      <c r="S480" s="8"/>
      <c r="W480" s="8"/>
      <c r="X480" s="8"/>
      <c r="AE480" s="8"/>
      <c r="AF480" s="8"/>
      <c r="AV480" s="8"/>
      <c r="AW480" s="8"/>
      <c r="AX480" s="8"/>
      <c r="AY480" s="8"/>
      <c r="AZ480" s="8"/>
      <c r="BA480" s="8"/>
      <c r="BC480" s="8"/>
      <c r="BE480" s="8"/>
      <c r="BF480" s="8"/>
      <c r="BG480" s="8"/>
    </row>
    <row r="481" spans="18:59">
      <c r="R481" s="8"/>
      <c r="S481" s="8"/>
      <c r="W481" s="8"/>
      <c r="X481" s="8"/>
      <c r="AE481" s="8"/>
      <c r="AF481" s="8"/>
      <c r="AV481" s="8"/>
      <c r="AW481" s="8"/>
      <c r="AX481" s="8"/>
      <c r="AY481" s="8"/>
      <c r="AZ481" s="8"/>
      <c r="BA481" s="8"/>
      <c r="BC481" s="8"/>
      <c r="BE481" s="8"/>
      <c r="BF481" s="8"/>
      <c r="BG481" s="8"/>
    </row>
    <row r="482" spans="18:59">
      <c r="R482" s="8"/>
      <c r="S482" s="8"/>
      <c r="W482" s="8"/>
      <c r="X482" s="8"/>
      <c r="AE482" s="8"/>
      <c r="AF482" s="8"/>
      <c r="AV482" s="8"/>
      <c r="AW482" s="8"/>
      <c r="AX482" s="8"/>
      <c r="AY482" s="8"/>
      <c r="AZ482" s="8"/>
      <c r="BA482" s="8"/>
      <c r="BC482" s="8"/>
      <c r="BE482" s="8"/>
      <c r="BF482" s="8"/>
      <c r="BG482" s="8"/>
    </row>
    <row r="483" spans="18:59">
      <c r="R483" s="8"/>
      <c r="S483" s="8"/>
      <c r="W483" s="8"/>
      <c r="X483" s="8"/>
      <c r="AE483" s="8"/>
      <c r="AF483" s="8"/>
      <c r="AV483" s="8"/>
      <c r="AW483" s="8"/>
      <c r="AX483" s="8"/>
      <c r="AY483" s="8"/>
      <c r="AZ483" s="8"/>
      <c r="BA483" s="8"/>
      <c r="BC483" s="8"/>
      <c r="BE483" s="8"/>
      <c r="BF483" s="8"/>
      <c r="BG483" s="8"/>
    </row>
    <row r="484" spans="18:59">
      <c r="R484" s="8"/>
      <c r="S484" s="8"/>
      <c r="W484" s="8"/>
      <c r="X484" s="8"/>
      <c r="AE484" s="8"/>
      <c r="AF484" s="8"/>
      <c r="AV484" s="8"/>
      <c r="AW484" s="8"/>
      <c r="AX484" s="8"/>
      <c r="AY484" s="8"/>
      <c r="AZ484" s="8"/>
      <c r="BA484" s="8"/>
      <c r="BC484" s="8"/>
      <c r="BE484" s="8"/>
      <c r="BF484" s="8"/>
      <c r="BG484" s="8"/>
    </row>
    <row r="485" spans="18:59">
      <c r="R485" s="8"/>
      <c r="S485" s="8"/>
      <c r="W485" s="8"/>
      <c r="X485" s="8"/>
      <c r="AE485" s="8"/>
      <c r="AF485" s="8"/>
      <c r="AV485" s="8"/>
      <c r="AW485" s="8"/>
      <c r="AX485" s="8"/>
      <c r="AY485" s="8"/>
      <c r="AZ485" s="8"/>
      <c r="BA485" s="8"/>
      <c r="BC485" s="8"/>
      <c r="BE485" s="8"/>
      <c r="BF485" s="8"/>
      <c r="BG485" s="8"/>
    </row>
    <row r="486" spans="18:59">
      <c r="R486" s="8"/>
      <c r="S486" s="8"/>
      <c r="W486" s="8"/>
      <c r="X486" s="8"/>
      <c r="AE486" s="8"/>
      <c r="AF486" s="8"/>
      <c r="AV486" s="8"/>
      <c r="AW486" s="8"/>
      <c r="AX486" s="8"/>
      <c r="AY486" s="8"/>
      <c r="AZ486" s="8"/>
      <c r="BA486" s="8"/>
      <c r="BC486" s="8"/>
      <c r="BE486" s="8"/>
      <c r="BF486" s="8"/>
      <c r="BG486" s="8"/>
    </row>
    <row r="487" spans="18:59">
      <c r="R487" s="8"/>
      <c r="S487" s="8"/>
      <c r="W487" s="8"/>
      <c r="X487" s="8"/>
      <c r="AE487" s="8"/>
      <c r="AF487" s="8"/>
      <c r="AV487" s="8"/>
      <c r="AW487" s="8"/>
      <c r="AX487" s="8"/>
      <c r="AY487" s="8"/>
      <c r="AZ487" s="8"/>
      <c r="BA487" s="8"/>
      <c r="BC487" s="8"/>
      <c r="BE487" s="8"/>
      <c r="BF487" s="8"/>
      <c r="BG487" s="8"/>
    </row>
    <row r="488" spans="18:59">
      <c r="R488" s="8"/>
      <c r="S488" s="8"/>
      <c r="W488" s="8"/>
      <c r="X488" s="8"/>
      <c r="AE488" s="8"/>
      <c r="AF488" s="8"/>
      <c r="AV488" s="8"/>
      <c r="AW488" s="8"/>
      <c r="AX488" s="8"/>
      <c r="AY488" s="8"/>
      <c r="AZ488" s="8"/>
      <c r="BA488" s="8"/>
      <c r="BC488" s="8"/>
      <c r="BE488" s="8"/>
      <c r="BF488" s="8"/>
      <c r="BG488" s="8"/>
    </row>
    <row r="489" spans="18:59">
      <c r="R489" s="8"/>
      <c r="S489" s="8"/>
      <c r="W489" s="8"/>
      <c r="X489" s="8"/>
      <c r="AE489" s="8"/>
      <c r="AF489" s="8"/>
      <c r="AV489" s="8"/>
      <c r="AW489" s="8"/>
      <c r="AX489" s="8"/>
      <c r="AY489" s="8"/>
      <c r="AZ489" s="8"/>
      <c r="BA489" s="8"/>
      <c r="BC489" s="8"/>
      <c r="BE489" s="8"/>
      <c r="BF489" s="8"/>
      <c r="BG489" s="8"/>
    </row>
    <row r="490" spans="18:59">
      <c r="R490" s="8"/>
      <c r="S490" s="8"/>
      <c r="W490" s="8"/>
      <c r="X490" s="8"/>
      <c r="AE490" s="8"/>
      <c r="AF490" s="8"/>
      <c r="AV490" s="8"/>
      <c r="AW490" s="8"/>
      <c r="AX490" s="8"/>
      <c r="AY490" s="8"/>
      <c r="AZ490" s="8"/>
      <c r="BA490" s="8"/>
      <c r="BC490" s="8"/>
      <c r="BE490" s="8"/>
      <c r="BF490" s="8"/>
      <c r="BG490" s="8"/>
    </row>
    <row r="491" spans="18:59">
      <c r="R491" s="8"/>
      <c r="S491" s="8"/>
      <c r="W491" s="8"/>
      <c r="X491" s="8"/>
      <c r="AE491" s="8"/>
      <c r="AF491" s="8"/>
      <c r="AV491" s="8"/>
      <c r="AW491" s="8"/>
      <c r="AX491" s="8"/>
      <c r="AY491" s="8"/>
      <c r="AZ491" s="8"/>
      <c r="BA491" s="8"/>
      <c r="BC491" s="8"/>
      <c r="BE491" s="8"/>
      <c r="BF491" s="8"/>
      <c r="BG491" s="8"/>
    </row>
    <row r="492" spans="18:59">
      <c r="R492" s="8"/>
      <c r="S492" s="8"/>
      <c r="W492" s="8"/>
      <c r="X492" s="8"/>
      <c r="AE492" s="8"/>
      <c r="AF492" s="8"/>
      <c r="AV492" s="8"/>
      <c r="AW492" s="8"/>
      <c r="AX492" s="8"/>
      <c r="AY492" s="8"/>
      <c r="AZ492" s="8"/>
      <c r="BA492" s="8"/>
      <c r="BC492" s="8"/>
      <c r="BE492" s="8"/>
      <c r="BF492" s="8"/>
      <c r="BG492" s="8"/>
    </row>
    <row r="493" spans="18:59">
      <c r="R493" s="8"/>
      <c r="S493" s="8"/>
      <c r="W493" s="8"/>
      <c r="X493" s="8"/>
      <c r="AE493" s="8"/>
      <c r="AF493" s="8"/>
      <c r="AV493" s="8"/>
      <c r="AW493" s="8"/>
      <c r="AX493" s="8"/>
      <c r="AY493" s="8"/>
      <c r="AZ493" s="8"/>
      <c r="BA493" s="8"/>
      <c r="BC493" s="8"/>
      <c r="BE493" s="8"/>
      <c r="BF493" s="8"/>
      <c r="BG493" s="8"/>
    </row>
    <row r="494" spans="18:59">
      <c r="R494" s="8"/>
      <c r="S494" s="8"/>
      <c r="W494" s="8"/>
      <c r="X494" s="8"/>
      <c r="AE494" s="8"/>
      <c r="AF494" s="8"/>
      <c r="AV494" s="8"/>
      <c r="AW494" s="8"/>
      <c r="AX494" s="8"/>
      <c r="AY494" s="8"/>
      <c r="AZ494" s="8"/>
      <c r="BA494" s="8"/>
      <c r="BC494" s="8"/>
      <c r="BE494" s="8"/>
      <c r="BF494" s="8"/>
      <c r="BG494" s="8"/>
    </row>
    <row r="495" spans="18:59">
      <c r="R495" s="8"/>
      <c r="S495" s="8"/>
      <c r="W495" s="8"/>
      <c r="X495" s="8"/>
      <c r="AE495" s="8"/>
      <c r="AF495" s="8"/>
      <c r="AV495" s="8"/>
      <c r="AW495" s="8"/>
      <c r="AX495" s="8"/>
      <c r="AY495" s="8"/>
      <c r="AZ495" s="8"/>
      <c r="BA495" s="8"/>
      <c r="BC495" s="8"/>
      <c r="BE495" s="8"/>
      <c r="BF495" s="8"/>
      <c r="BG495" s="8"/>
    </row>
    <row r="496" spans="18:59">
      <c r="R496" s="8"/>
      <c r="S496" s="8"/>
      <c r="W496" s="8"/>
      <c r="X496" s="8"/>
      <c r="AE496" s="8"/>
      <c r="AF496" s="8"/>
      <c r="AV496" s="8"/>
      <c r="AW496" s="8"/>
      <c r="AX496" s="8"/>
      <c r="AY496" s="8"/>
      <c r="AZ496" s="8"/>
      <c r="BA496" s="8"/>
      <c r="BC496" s="8"/>
      <c r="BE496" s="8"/>
      <c r="BF496" s="8"/>
      <c r="BG496" s="8"/>
    </row>
    <row r="497" spans="18:59">
      <c r="R497" s="8"/>
      <c r="S497" s="8"/>
      <c r="W497" s="8"/>
      <c r="X497" s="8"/>
      <c r="AE497" s="8"/>
      <c r="AF497" s="8"/>
      <c r="AV497" s="8"/>
      <c r="AW497" s="8"/>
      <c r="AX497" s="8"/>
      <c r="AY497" s="8"/>
      <c r="AZ497" s="8"/>
      <c r="BA497" s="8"/>
      <c r="BC497" s="8"/>
      <c r="BE497" s="8"/>
      <c r="BF497" s="8"/>
      <c r="BG497" s="8"/>
    </row>
    <row r="498" spans="18:59">
      <c r="R498" s="8"/>
      <c r="S498" s="8"/>
      <c r="W498" s="8"/>
      <c r="X498" s="8"/>
      <c r="AE498" s="8"/>
      <c r="AF498" s="8"/>
      <c r="AV498" s="8"/>
      <c r="AW498" s="8"/>
      <c r="AX498" s="8"/>
      <c r="AY498" s="8"/>
      <c r="AZ498" s="8"/>
      <c r="BA498" s="8"/>
      <c r="BC498" s="8"/>
      <c r="BE498" s="8"/>
      <c r="BF498" s="8"/>
      <c r="BG498" s="8"/>
    </row>
    <row r="499" spans="18:59">
      <c r="R499" s="8"/>
      <c r="S499" s="8"/>
      <c r="W499" s="8"/>
      <c r="X499" s="8"/>
      <c r="AE499" s="8"/>
      <c r="AF499" s="8"/>
      <c r="AV499" s="8"/>
      <c r="AW499" s="8"/>
      <c r="AX499" s="8"/>
      <c r="AY499" s="8"/>
      <c r="AZ499" s="8"/>
      <c r="BA499" s="8"/>
      <c r="BC499" s="8"/>
      <c r="BE499" s="8"/>
      <c r="BF499" s="8"/>
      <c r="BG499" s="8"/>
    </row>
    <row r="500" spans="18:59">
      <c r="R500" s="8"/>
      <c r="S500" s="8"/>
      <c r="W500" s="8"/>
      <c r="X500" s="8"/>
      <c r="AE500" s="8"/>
      <c r="AF500" s="8"/>
      <c r="AV500" s="8"/>
      <c r="AW500" s="8"/>
      <c r="AX500" s="8"/>
      <c r="AY500" s="8"/>
      <c r="AZ500" s="8"/>
      <c r="BA500" s="8"/>
      <c r="BC500" s="8"/>
      <c r="BE500" s="8"/>
      <c r="BF500" s="8"/>
      <c r="BG500" s="8"/>
    </row>
    <row r="501" spans="18:59">
      <c r="R501" s="8"/>
      <c r="S501" s="8"/>
      <c r="W501" s="8"/>
      <c r="X501" s="8"/>
      <c r="AE501" s="8"/>
      <c r="AF501" s="8"/>
      <c r="AV501" s="8"/>
      <c r="AW501" s="8"/>
      <c r="AX501" s="8"/>
      <c r="AY501" s="8"/>
      <c r="AZ501" s="8"/>
      <c r="BA501" s="8"/>
      <c r="BC501" s="8"/>
      <c r="BE501" s="8"/>
      <c r="BF501" s="8"/>
      <c r="BG501" s="8"/>
    </row>
    <row r="502" spans="18:59">
      <c r="R502" s="8"/>
      <c r="S502" s="8"/>
      <c r="W502" s="8"/>
      <c r="X502" s="8"/>
      <c r="AE502" s="8"/>
      <c r="AF502" s="8"/>
      <c r="AV502" s="8"/>
      <c r="AW502" s="8"/>
      <c r="AX502" s="8"/>
      <c r="AY502" s="8"/>
      <c r="AZ502" s="8"/>
      <c r="BA502" s="8"/>
      <c r="BC502" s="8"/>
      <c r="BE502" s="8"/>
      <c r="BF502" s="8"/>
      <c r="BG502" s="8"/>
    </row>
  </sheetData>
  <mergeCells count="6">
    <mergeCell ref="I1:K1"/>
    <mergeCell ref="O2:S2"/>
    <mergeCell ref="Y2:AD2"/>
    <mergeCell ref="AG2:AI2"/>
    <mergeCell ref="AU2:BA2"/>
    <mergeCell ref="AJ2:AS2"/>
  </mergeCells>
  <pageMargins left="0.7" right="0.7" top="0.75" bottom="0.75" header="0.3" footer="0.3"/>
  <pageSetup orientation="portrait"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29A14-2AC5-46BC-B00C-9AE2E2324C24}">
  <dimension ref="A1:W19"/>
  <sheetViews>
    <sheetView topLeftCell="A2" zoomScale="94" workbookViewId="0">
      <selection activeCell="D9" sqref="D9"/>
    </sheetView>
  </sheetViews>
  <sheetFormatPr baseColWidth="10" defaultColWidth="8.83203125" defaultRowHeight="15"/>
  <cols>
    <col min="1" max="1" width="23.1640625" customWidth="1"/>
  </cols>
  <sheetData>
    <row r="1" spans="1:22">
      <c r="A1" s="375" t="s">
        <v>567</v>
      </c>
      <c r="B1" s="375"/>
      <c r="C1" s="375"/>
      <c r="D1" s="375"/>
    </row>
    <row r="2" spans="1:22" s="308" customFormat="1">
      <c r="A2" s="308" t="s">
        <v>517</v>
      </c>
      <c r="B2" s="307">
        <v>2021</v>
      </c>
      <c r="C2" s="307">
        <v>2021</v>
      </c>
      <c r="D2" s="307">
        <v>2021</v>
      </c>
      <c r="E2" s="307">
        <v>2022</v>
      </c>
      <c r="F2" s="307">
        <v>2022</v>
      </c>
      <c r="G2" s="307">
        <v>2022</v>
      </c>
      <c r="H2" s="307">
        <v>2022</v>
      </c>
      <c r="I2" s="307">
        <v>2023</v>
      </c>
      <c r="J2" s="307">
        <v>2023</v>
      </c>
      <c r="K2" s="307">
        <v>2023</v>
      </c>
      <c r="L2" s="307">
        <v>2023</v>
      </c>
      <c r="M2" s="307">
        <v>2024</v>
      </c>
      <c r="N2" s="307">
        <v>2024</v>
      </c>
      <c r="O2" s="307">
        <v>2024</v>
      </c>
      <c r="P2" s="307">
        <v>2024</v>
      </c>
      <c r="Q2" s="307">
        <v>2025</v>
      </c>
      <c r="R2" s="307">
        <v>2025</v>
      </c>
      <c r="S2" s="307">
        <v>2025</v>
      </c>
      <c r="T2" s="307">
        <v>2025</v>
      </c>
      <c r="U2" s="307">
        <v>2026</v>
      </c>
    </row>
    <row r="3" spans="1:22">
      <c r="A3" s="24" t="s">
        <v>54</v>
      </c>
      <c r="B3" s="320" t="s">
        <v>110</v>
      </c>
      <c r="C3" s="320" t="s">
        <v>111</v>
      </c>
      <c r="D3" s="320" t="s">
        <v>112</v>
      </c>
      <c r="E3" s="320" t="s">
        <v>113</v>
      </c>
      <c r="F3" s="320" t="s">
        <v>114</v>
      </c>
      <c r="G3" s="320" t="s">
        <v>115</v>
      </c>
      <c r="H3" s="320" t="s">
        <v>116</v>
      </c>
      <c r="I3" s="320" t="s">
        <v>117</v>
      </c>
      <c r="J3" s="320" t="s">
        <v>118</v>
      </c>
      <c r="K3" s="320" t="s">
        <v>119</v>
      </c>
      <c r="L3" s="320" t="s">
        <v>120</v>
      </c>
      <c r="M3" s="320" t="s">
        <v>121</v>
      </c>
      <c r="N3" s="320" t="s">
        <v>122</v>
      </c>
      <c r="O3" s="320" t="s">
        <v>123</v>
      </c>
      <c r="P3" s="320" t="s">
        <v>124</v>
      </c>
      <c r="Q3" s="320" t="s">
        <v>125</v>
      </c>
      <c r="R3" s="320" t="s">
        <v>126</v>
      </c>
      <c r="S3" s="320" t="s">
        <v>127</v>
      </c>
      <c r="T3" s="320" t="s">
        <v>128</v>
      </c>
      <c r="U3" s="320" t="s">
        <v>129</v>
      </c>
    </row>
    <row r="4" spans="1:22">
      <c r="A4" s="24" t="s">
        <v>105</v>
      </c>
      <c r="B4" s="320"/>
      <c r="C4" s="320"/>
      <c r="D4" s="320">
        <v>0</v>
      </c>
      <c r="E4" s="320">
        <v>0</v>
      </c>
      <c r="F4" s="320">
        <v>0.5</v>
      </c>
      <c r="G4" s="320">
        <v>0.5</v>
      </c>
      <c r="H4" s="320">
        <v>0</v>
      </c>
      <c r="I4" s="320">
        <v>0</v>
      </c>
      <c r="J4" s="320">
        <v>0</v>
      </c>
      <c r="K4" s="320">
        <v>0</v>
      </c>
      <c r="L4" s="320">
        <v>0</v>
      </c>
      <c r="M4" s="320">
        <v>0</v>
      </c>
      <c r="N4" s="320">
        <v>0</v>
      </c>
      <c r="O4" s="320">
        <v>0</v>
      </c>
      <c r="P4" s="320">
        <v>0</v>
      </c>
      <c r="Q4" s="320">
        <v>0</v>
      </c>
      <c r="R4" s="320">
        <v>0</v>
      </c>
      <c r="S4" s="320">
        <v>0</v>
      </c>
      <c r="T4" s="320">
        <v>0</v>
      </c>
      <c r="U4" s="320">
        <v>0</v>
      </c>
    </row>
    <row r="5" spans="1:22">
      <c r="A5" s="24" t="s">
        <v>107</v>
      </c>
      <c r="B5" s="320">
        <v>0.04</v>
      </c>
      <c r="C5" s="320">
        <v>0.48</v>
      </c>
      <c r="D5" s="320">
        <v>0.48</v>
      </c>
      <c r="E5" s="320">
        <v>0</v>
      </c>
      <c r="F5" s="320">
        <v>0</v>
      </c>
      <c r="G5" s="320">
        <v>0</v>
      </c>
      <c r="H5" s="320">
        <v>0</v>
      </c>
      <c r="I5" s="320">
        <v>0</v>
      </c>
      <c r="J5" s="320">
        <v>0</v>
      </c>
      <c r="K5" s="320">
        <v>0</v>
      </c>
      <c r="L5" s="320">
        <v>0</v>
      </c>
      <c r="M5" s="320">
        <v>0</v>
      </c>
      <c r="N5" s="320">
        <v>0</v>
      </c>
      <c r="O5" s="320">
        <v>0</v>
      </c>
      <c r="P5" s="320">
        <v>0</v>
      </c>
      <c r="Q5" s="320">
        <v>0</v>
      </c>
      <c r="R5" s="320">
        <v>0</v>
      </c>
      <c r="S5" s="320">
        <v>0</v>
      </c>
      <c r="T5" s="320">
        <v>0</v>
      </c>
      <c r="U5" s="320">
        <v>0</v>
      </c>
    </row>
    <row r="6" spans="1:22" s="324" customFormat="1">
      <c r="A6" s="24" t="s">
        <v>542</v>
      </c>
      <c r="B6" s="320">
        <f>B8</f>
        <v>0</v>
      </c>
      <c r="C6" s="320">
        <f>C8</f>
        <v>0.28000000000000003</v>
      </c>
      <c r="D6" s="320">
        <f t="shared" ref="D6:U6" si="0">D8</f>
        <v>0.72</v>
      </c>
      <c r="E6" s="320">
        <f t="shared" si="0"/>
        <v>0.25</v>
      </c>
      <c r="F6" s="320">
        <f t="shared" si="0"/>
        <v>0.25</v>
      </c>
      <c r="G6" s="320">
        <f t="shared" si="0"/>
        <v>0.25</v>
      </c>
      <c r="H6" s="320">
        <f t="shared" si="0"/>
        <v>0.25</v>
      </c>
      <c r="I6" s="320">
        <f t="shared" si="0"/>
        <v>0.25</v>
      </c>
      <c r="J6" s="320">
        <f t="shared" si="0"/>
        <v>0.25</v>
      </c>
      <c r="K6" s="320">
        <f t="shared" si="0"/>
        <v>0.25</v>
      </c>
      <c r="L6" s="320">
        <f t="shared" si="0"/>
        <v>0.25</v>
      </c>
      <c r="M6" s="320">
        <f t="shared" si="0"/>
        <v>0.25</v>
      </c>
      <c r="N6" s="320">
        <f t="shared" si="0"/>
        <v>0.25</v>
      </c>
      <c r="O6" s="320">
        <f t="shared" si="0"/>
        <v>0.25</v>
      </c>
      <c r="P6" s="320">
        <f t="shared" si="0"/>
        <v>0.25</v>
      </c>
      <c r="Q6" s="320">
        <f t="shared" si="0"/>
        <v>0.25</v>
      </c>
      <c r="R6" s="320">
        <f t="shared" si="0"/>
        <v>0.25</v>
      </c>
      <c r="S6" s="320">
        <f t="shared" si="0"/>
        <v>0.25</v>
      </c>
      <c r="T6" s="320">
        <f t="shared" si="0"/>
        <v>0.25</v>
      </c>
      <c r="U6" s="320">
        <f t="shared" si="0"/>
        <v>0.25</v>
      </c>
    </row>
    <row r="7" spans="1:22">
      <c r="A7" s="24" t="s">
        <v>104</v>
      </c>
      <c r="B7" s="320">
        <v>0</v>
      </c>
      <c r="C7" s="320">
        <v>0</v>
      </c>
      <c r="D7" s="320">
        <v>1</v>
      </c>
      <c r="E7" s="320">
        <v>0.25</v>
      </c>
      <c r="F7" s="320">
        <v>0.25</v>
      </c>
      <c r="G7" s="320">
        <v>0.25</v>
      </c>
      <c r="H7" s="320">
        <v>0.25</v>
      </c>
      <c r="I7" s="320">
        <v>0.25</v>
      </c>
      <c r="J7" s="320">
        <v>0.25</v>
      </c>
      <c r="K7" s="320">
        <v>0.25</v>
      </c>
      <c r="L7" s="320">
        <v>0.25</v>
      </c>
      <c r="M7" s="320">
        <v>0.25</v>
      </c>
      <c r="N7" s="320">
        <v>0.25</v>
      </c>
      <c r="O7" s="320">
        <v>0.25</v>
      </c>
      <c r="P7" s="320">
        <v>0.25</v>
      </c>
      <c r="Q7" s="320">
        <v>0.25</v>
      </c>
      <c r="R7" s="320">
        <v>0.25</v>
      </c>
      <c r="S7" s="320">
        <v>0.25</v>
      </c>
      <c r="T7" s="320">
        <v>0.25</v>
      </c>
      <c r="U7" s="320">
        <v>0.25</v>
      </c>
    </row>
    <row r="8" spans="1:22">
      <c r="A8" s="24" t="s">
        <v>106</v>
      </c>
      <c r="B8" s="320">
        <v>0</v>
      </c>
      <c r="C8" s="320">
        <v>0.28000000000000003</v>
      </c>
      <c r="D8" s="320">
        <v>0.72</v>
      </c>
      <c r="E8" s="320">
        <v>0.25</v>
      </c>
      <c r="F8" s="320">
        <v>0.25</v>
      </c>
      <c r="G8" s="320">
        <v>0.25</v>
      </c>
      <c r="H8" s="320">
        <v>0.25</v>
      </c>
      <c r="I8" s="320">
        <v>0.25</v>
      </c>
      <c r="J8" s="320">
        <v>0.25</v>
      </c>
      <c r="K8" s="320">
        <v>0.25</v>
      </c>
      <c r="L8" s="320">
        <v>0.25</v>
      </c>
      <c r="M8" s="320">
        <v>0.25</v>
      </c>
      <c r="N8" s="320">
        <v>0.25</v>
      </c>
      <c r="O8" s="320">
        <v>0.25</v>
      </c>
      <c r="P8" s="320">
        <v>0.25</v>
      </c>
      <c r="Q8" s="320">
        <v>0.25</v>
      </c>
      <c r="R8" s="320">
        <v>0.25</v>
      </c>
      <c r="S8" s="320">
        <v>0.25</v>
      </c>
      <c r="T8" s="320">
        <v>0.25</v>
      </c>
      <c r="U8" s="320">
        <v>0.25</v>
      </c>
    </row>
    <row r="9" spans="1:22" ht="29">
      <c r="A9" s="24" t="s">
        <v>108</v>
      </c>
      <c r="B9" s="320">
        <v>0</v>
      </c>
      <c r="C9" s="320">
        <f>0.18</f>
        <v>0.18</v>
      </c>
      <c r="D9" s="320">
        <f>1-C9</f>
        <v>0.82000000000000006</v>
      </c>
      <c r="E9" s="320">
        <v>0.25</v>
      </c>
      <c r="F9" s="320">
        <v>0.25</v>
      </c>
      <c r="G9" s="320">
        <v>0.25</v>
      </c>
      <c r="H9" s="320">
        <v>0.25</v>
      </c>
      <c r="I9" s="320">
        <v>0.25</v>
      </c>
      <c r="J9" s="320">
        <v>0.25</v>
      </c>
      <c r="K9" s="320">
        <v>0.25</v>
      </c>
      <c r="L9" s="320">
        <v>0.25</v>
      </c>
      <c r="M9" s="320">
        <v>0.25</v>
      </c>
      <c r="N9" s="320">
        <v>0.25</v>
      </c>
      <c r="O9" s="320">
        <v>0.25</v>
      </c>
      <c r="P9" s="320">
        <v>0.25</v>
      </c>
      <c r="Q9" s="320">
        <v>0.25</v>
      </c>
      <c r="R9" s="320">
        <v>0.25</v>
      </c>
      <c r="S9" s="320">
        <v>0.25</v>
      </c>
      <c r="T9" s="320">
        <v>0.25</v>
      </c>
      <c r="U9" s="320">
        <v>0.25</v>
      </c>
    </row>
    <row r="10" spans="1:22">
      <c r="A10" s="24" t="s">
        <v>109</v>
      </c>
      <c r="B10" s="320">
        <v>0</v>
      </c>
      <c r="C10" s="320">
        <v>0.5</v>
      </c>
      <c r="D10" s="320">
        <v>0.5</v>
      </c>
      <c r="E10" s="320">
        <v>0.25</v>
      </c>
      <c r="F10" s="320">
        <v>0.25</v>
      </c>
      <c r="G10" s="320">
        <v>0.25</v>
      </c>
      <c r="H10" s="320">
        <v>0.25</v>
      </c>
      <c r="I10" s="320">
        <v>0.25</v>
      </c>
      <c r="J10" s="320">
        <v>0.25</v>
      </c>
      <c r="K10" s="320">
        <v>0.25</v>
      </c>
      <c r="L10" s="320">
        <v>0.25</v>
      </c>
      <c r="M10" s="320">
        <v>0.25</v>
      </c>
      <c r="N10" s="320">
        <v>0.25</v>
      </c>
      <c r="O10" s="320">
        <v>0.25</v>
      </c>
      <c r="P10" s="320">
        <v>0.25</v>
      </c>
      <c r="Q10" s="320">
        <v>0.25</v>
      </c>
      <c r="R10" s="320">
        <v>0.25</v>
      </c>
      <c r="S10" s="320">
        <v>0.25</v>
      </c>
      <c r="T10" s="320">
        <v>0.25</v>
      </c>
      <c r="U10" s="320">
        <v>0.25</v>
      </c>
    </row>
    <row r="11" spans="1:22">
      <c r="A11" s="24" t="s">
        <v>102</v>
      </c>
      <c r="B11" s="320">
        <v>0</v>
      </c>
      <c r="C11" s="320">
        <v>0.5</v>
      </c>
      <c r="D11" s="320">
        <v>0.5</v>
      </c>
      <c r="E11" s="320">
        <v>0.25</v>
      </c>
      <c r="F11" s="320">
        <v>0.25</v>
      </c>
      <c r="G11" s="320">
        <v>0.25</v>
      </c>
      <c r="H11" s="320">
        <v>0.25</v>
      </c>
      <c r="I11" s="320">
        <v>0.25</v>
      </c>
      <c r="J11" s="320">
        <v>0.25</v>
      </c>
      <c r="K11" s="320">
        <v>0.25</v>
      </c>
      <c r="L11" s="320">
        <v>0.25</v>
      </c>
      <c r="M11" s="320">
        <v>0.25</v>
      </c>
      <c r="N11" s="320">
        <v>0.25</v>
      </c>
      <c r="O11" s="320">
        <v>0.25</v>
      </c>
      <c r="P11" s="320">
        <v>0.25</v>
      </c>
      <c r="Q11" s="320">
        <v>0.25</v>
      </c>
      <c r="R11" s="320">
        <v>0.25</v>
      </c>
      <c r="S11" s="320">
        <v>0.25</v>
      </c>
      <c r="T11" s="320">
        <v>0.25</v>
      </c>
      <c r="U11" s="320">
        <v>0.25</v>
      </c>
    </row>
    <row r="12" spans="1:22" s="324" customFormat="1" ht="14" customHeight="1">
      <c r="A12" s="24" t="s">
        <v>540</v>
      </c>
      <c r="B12" s="320">
        <v>1</v>
      </c>
      <c r="C12" s="320"/>
      <c r="D12" s="320"/>
      <c r="E12" s="320"/>
      <c r="F12" s="320"/>
      <c r="G12" s="320"/>
      <c r="H12" s="320"/>
      <c r="I12" s="320"/>
      <c r="J12" s="320"/>
      <c r="K12" s="320"/>
      <c r="L12" s="320"/>
      <c r="M12" s="320"/>
      <c r="N12" s="320"/>
      <c r="O12" s="320"/>
      <c r="P12" s="320"/>
      <c r="Q12" s="320"/>
      <c r="R12" s="320"/>
      <c r="S12" s="320"/>
      <c r="T12" s="320"/>
      <c r="U12" s="320"/>
    </row>
    <row r="13" spans="1:22" s="299" customFormat="1">
      <c r="A13" s="340" t="s">
        <v>539</v>
      </c>
      <c r="B13" s="341">
        <v>0</v>
      </c>
      <c r="C13" s="341">
        <v>0.4</v>
      </c>
      <c r="D13" s="341">
        <v>0.6</v>
      </c>
      <c r="E13" s="341">
        <v>0.4</v>
      </c>
      <c r="F13" s="341">
        <v>0.3</v>
      </c>
      <c r="G13" s="341">
        <v>0.2</v>
      </c>
      <c r="H13" s="341">
        <v>0.1</v>
      </c>
      <c r="I13" s="341">
        <v>0.25</v>
      </c>
      <c r="J13" s="341">
        <v>0.25</v>
      </c>
      <c r="K13" s="341">
        <v>0.25</v>
      </c>
      <c r="L13" s="341">
        <v>0.25</v>
      </c>
      <c r="M13" s="341">
        <v>0.25</v>
      </c>
      <c r="N13" s="341">
        <v>0.25</v>
      </c>
      <c r="O13" s="341">
        <v>0.25</v>
      </c>
      <c r="P13" s="341">
        <v>0.25</v>
      </c>
      <c r="Q13" s="341">
        <v>0.25</v>
      </c>
      <c r="R13" s="341">
        <v>0.25</v>
      </c>
      <c r="S13" s="341">
        <v>0.25</v>
      </c>
      <c r="T13" s="341">
        <v>0.25</v>
      </c>
      <c r="U13" s="341">
        <v>0.25</v>
      </c>
    </row>
    <row r="14" spans="1:22" s="299" customFormat="1">
      <c r="A14" s="340"/>
      <c r="B14" s="341"/>
      <c r="C14" s="341"/>
      <c r="D14" s="341"/>
      <c r="E14" s="341"/>
      <c r="F14" s="341"/>
      <c r="G14" s="341"/>
      <c r="H14" s="341"/>
      <c r="I14" s="341"/>
      <c r="J14" s="341"/>
      <c r="K14" s="341"/>
      <c r="L14" s="341"/>
      <c r="M14" s="341"/>
      <c r="N14" s="341"/>
      <c r="O14" s="341"/>
      <c r="P14" s="341"/>
      <c r="Q14" s="341"/>
      <c r="R14" s="341"/>
      <c r="S14" s="341"/>
      <c r="T14" s="341"/>
      <c r="U14" s="341"/>
    </row>
    <row r="15" spans="1:22" s="299" customFormat="1" ht="29">
      <c r="A15" s="374" t="s">
        <v>568</v>
      </c>
      <c r="B15" s="341">
        <v>1</v>
      </c>
      <c r="C15" s="341">
        <v>2</v>
      </c>
      <c r="D15" s="341">
        <v>3</v>
      </c>
      <c r="E15" s="341">
        <v>4</v>
      </c>
      <c r="F15" s="341">
        <v>5</v>
      </c>
      <c r="G15" s="341">
        <v>6</v>
      </c>
      <c r="H15" s="341">
        <v>7</v>
      </c>
      <c r="I15" s="341">
        <v>8</v>
      </c>
      <c r="J15" s="341">
        <v>9</v>
      </c>
      <c r="K15" s="341">
        <v>10</v>
      </c>
      <c r="L15" s="341">
        <v>11</v>
      </c>
      <c r="M15" s="341">
        <v>12</v>
      </c>
      <c r="N15" s="341">
        <v>13</v>
      </c>
      <c r="O15" s="341">
        <v>14</v>
      </c>
      <c r="P15" s="341">
        <v>15</v>
      </c>
      <c r="Q15" s="341">
        <v>16</v>
      </c>
      <c r="R15" s="341">
        <v>17</v>
      </c>
      <c r="S15" s="341">
        <v>18</v>
      </c>
      <c r="T15" s="341">
        <v>19</v>
      </c>
      <c r="U15" s="341">
        <v>20</v>
      </c>
    </row>
    <row r="16" spans="1:22">
      <c r="A16" s="24" t="s">
        <v>103</v>
      </c>
      <c r="B16" s="320">
        <v>7.0000000000000007E-2</v>
      </c>
      <c r="C16" s="320">
        <v>7.0000000000000007E-2</v>
      </c>
      <c r="D16" s="320">
        <v>4.9000000000000002E-2</v>
      </c>
      <c r="E16" s="320">
        <v>4.9000000000000002E-2</v>
      </c>
      <c r="F16" s="320">
        <v>4.9000000000000002E-2</v>
      </c>
      <c r="G16" s="320">
        <v>4.9000000000000002E-2</v>
      </c>
      <c r="H16" s="320">
        <v>4.9000000000000002E-2</v>
      </c>
      <c r="I16" s="320">
        <v>4.9000000000000002E-2</v>
      </c>
      <c r="J16" s="320">
        <v>4.9000000000000002E-2</v>
      </c>
      <c r="K16" s="320">
        <v>4.9000000000000002E-2</v>
      </c>
      <c r="L16" s="320">
        <v>4.9000000000000002E-2</v>
      </c>
      <c r="M16" s="320">
        <v>4.9000000000000002E-2</v>
      </c>
      <c r="N16" s="320">
        <f t="shared" ref="N16:T16" si="1">0.0475</f>
        <v>4.7500000000000001E-2</v>
      </c>
      <c r="O16" s="320">
        <f t="shared" si="1"/>
        <v>4.7500000000000001E-2</v>
      </c>
      <c r="P16" s="320">
        <f t="shared" si="1"/>
        <v>4.7500000000000001E-2</v>
      </c>
      <c r="Q16" s="320">
        <f t="shared" si="1"/>
        <v>4.7500000000000001E-2</v>
      </c>
      <c r="R16" s="320">
        <f t="shared" si="1"/>
        <v>4.7500000000000001E-2</v>
      </c>
      <c r="S16" s="320">
        <f t="shared" si="1"/>
        <v>4.7500000000000001E-2</v>
      </c>
      <c r="T16" s="320">
        <f t="shared" si="1"/>
        <v>4.7500000000000001E-2</v>
      </c>
      <c r="U16" s="320">
        <f>0.0375</f>
        <v>3.7499999999999999E-2</v>
      </c>
      <c r="V16" s="320">
        <f>SUM(B16:U16)</f>
        <v>0.99999999999999989</v>
      </c>
    </row>
    <row r="17" spans="1:23" ht="29">
      <c r="A17" s="24" t="s">
        <v>1187</v>
      </c>
      <c r="B17">
        <v>0</v>
      </c>
      <c r="C17" s="560">
        <v>0</v>
      </c>
      <c r="D17" s="560">
        <v>3.5000000000000003E-2</v>
      </c>
      <c r="E17" s="560">
        <v>4.65E-2</v>
      </c>
      <c r="F17" s="560">
        <v>0.06</v>
      </c>
      <c r="G17" s="560">
        <v>6.5000000000000002E-2</v>
      </c>
      <c r="H17" s="560">
        <v>0.05</v>
      </c>
      <c r="I17" s="560">
        <v>0.05</v>
      </c>
      <c r="J17" s="560">
        <v>0.06</v>
      </c>
      <c r="K17" s="560">
        <v>0.06</v>
      </c>
      <c r="L17" s="560">
        <v>7.0000000000000007E-2</v>
      </c>
      <c r="M17" s="560">
        <v>7.0000000000000007E-2</v>
      </c>
      <c r="N17" s="560">
        <v>0.06</v>
      </c>
      <c r="O17" s="560">
        <v>0.06</v>
      </c>
      <c r="P17" s="560">
        <v>5.3499999999999999E-2</v>
      </c>
      <c r="Q17" s="560">
        <f t="shared" ref="Q17:T17" si="2">Q16</f>
        <v>4.7500000000000001E-2</v>
      </c>
      <c r="R17" s="560">
        <f t="shared" si="2"/>
        <v>4.7500000000000001E-2</v>
      </c>
      <c r="S17" s="560">
        <f t="shared" si="2"/>
        <v>4.7500000000000001E-2</v>
      </c>
      <c r="T17" s="560">
        <f t="shared" si="2"/>
        <v>4.7500000000000001E-2</v>
      </c>
      <c r="U17" s="560">
        <v>0.01</v>
      </c>
      <c r="V17" s="320">
        <f>SUM(B17:U17)</f>
        <v>0.94000000000000006</v>
      </c>
      <c r="W17" t="s">
        <v>1189</v>
      </c>
    </row>
    <row r="19" spans="1:23">
      <c r="B19" s="1140">
        <f>'Federal and State Purchases'!M29</f>
        <v>1.5312550207230657E-2</v>
      </c>
      <c r="C19" s="1140">
        <f>'Federal and State Purchases'!J29</f>
        <v>-0.28300744302674896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0658F-0405-406F-8DF8-E0C0FA9AC7C2}">
  <dimension ref="A1:Y99"/>
  <sheetViews>
    <sheetView topLeftCell="A16" zoomScale="75" zoomScaleNormal="80" workbookViewId="0">
      <selection activeCell="C20" sqref="C20"/>
    </sheetView>
  </sheetViews>
  <sheetFormatPr baseColWidth="10" defaultColWidth="10.83203125" defaultRowHeight="15"/>
  <cols>
    <col min="1" max="1" width="15.5" style="50" customWidth="1"/>
    <col min="2" max="2" width="32.6640625" style="50" bestFit="1" customWidth="1"/>
    <col min="3" max="16384" width="10.83203125" style="50"/>
  </cols>
  <sheetData>
    <row r="1" spans="1:23" s="225" customFormat="1">
      <c r="A1" s="225" t="s">
        <v>541</v>
      </c>
      <c r="B1" s="225" t="s">
        <v>537</v>
      </c>
      <c r="C1" s="333">
        <v>2021</v>
      </c>
      <c r="D1" s="333">
        <f>C1</f>
        <v>2021</v>
      </c>
      <c r="E1" s="333">
        <f>D1</f>
        <v>2021</v>
      </c>
      <c r="F1" s="333">
        <v>2022</v>
      </c>
      <c r="G1" s="333">
        <v>2022</v>
      </c>
      <c r="H1" s="333">
        <v>2022</v>
      </c>
      <c r="I1" s="333">
        <v>2022</v>
      </c>
      <c r="J1" s="333">
        <v>2023</v>
      </c>
      <c r="K1" s="333">
        <v>2023</v>
      </c>
      <c r="L1" s="333">
        <v>2023</v>
      </c>
      <c r="M1" s="333">
        <v>2023</v>
      </c>
      <c r="N1" s="333">
        <v>2024</v>
      </c>
      <c r="O1" s="333">
        <v>2024</v>
      </c>
      <c r="P1" s="333">
        <v>2024</v>
      </c>
      <c r="Q1" s="333">
        <v>2024</v>
      </c>
      <c r="R1" s="333">
        <v>2025</v>
      </c>
      <c r="S1" s="333">
        <v>2025</v>
      </c>
      <c r="T1" s="333">
        <v>2025</v>
      </c>
      <c r="U1" s="333">
        <v>2025</v>
      </c>
      <c r="V1" s="333">
        <v>2026</v>
      </c>
    </row>
    <row r="2" spans="1:23" s="225" customFormat="1">
      <c r="B2" s="225" t="s">
        <v>538</v>
      </c>
      <c r="C2" s="325" t="s">
        <v>151</v>
      </c>
      <c r="D2" s="325" t="s">
        <v>152</v>
      </c>
      <c r="E2" s="325" t="s">
        <v>153</v>
      </c>
      <c r="F2" s="325" t="s">
        <v>154</v>
      </c>
      <c r="G2" s="325" t="s">
        <v>155</v>
      </c>
      <c r="H2" s="325" t="s">
        <v>156</v>
      </c>
      <c r="I2" s="325" t="s">
        <v>157</v>
      </c>
      <c r="J2" s="325" t="s">
        <v>158</v>
      </c>
      <c r="K2" s="325" t="s">
        <v>159</v>
      </c>
      <c r="L2" s="325" t="s">
        <v>160</v>
      </c>
      <c r="M2" s="325" t="s">
        <v>161</v>
      </c>
      <c r="N2" s="325" t="s">
        <v>162</v>
      </c>
      <c r="O2" s="325" t="s">
        <v>163</v>
      </c>
      <c r="P2" s="325" t="s">
        <v>164</v>
      </c>
      <c r="Q2" s="325" t="s">
        <v>165</v>
      </c>
      <c r="R2" s="325" t="s">
        <v>166</v>
      </c>
      <c r="S2" s="325" t="s">
        <v>167</v>
      </c>
      <c r="T2" s="325" t="s">
        <v>168</v>
      </c>
      <c r="U2" s="325" t="s">
        <v>169</v>
      </c>
      <c r="V2" s="325" t="s">
        <v>170</v>
      </c>
    </row>
    <row r="3" spans="1:23" s="225" customFormat="1">
      <c r="A3" s="225">
        <v>3</v>
      </c>
      <c r="B3" s="225" t="s">
        <v>482</v>
      </c>
      <c r="C3" s="334">
        <f>4*'ARP Timing'!B6*VLOOKUP(C$1,'ARP Score'!$A$5:$M14,$A3)</f>
        <v>0</v>
      </c>
      <c r="D3" s="575">
        <f>4*'ARP Timing'!C6*VLOOKUP(D$1,'ARP Score'!$A$5:$M14,$A3)</f>
        <v>219.184</v>
      </c>
      <c r="E3" s="575">
        <f>4*'ARP Timing'!D6*VLOOKUP(E$1,'ARP Score'!$A$5:$M14,$A3)</f>
        <v>563.61599999999999</v>
      </c>
      <c r="F3" s="575">
        <f>4*'ARP Timing'!E6*VLOOKUP(F$1,'ARP Score'!$A$5:$M14,$A3)</f>
        <v>10.1</v>
      </c>
      <c r="G3" s="575">
        <f>4*'ARP Timing'!F6*VLOOKUP(G$1,'ARP Score'!$A$5:$M14,$A3)</f>
        <v>10.1</v>
      </c>
      <c r="H3" s="575">
        <f>4*'ARP Timing'!G6*VLOOKUP(H$1,'ARP Score'!$A$5:$M14,$A3)</f>
        <v>10.1</v>
      </c>
      <c r="I3" s="575">
        <f>4*'ARP Timing'!H6*VLOOKUP(I$1,'ARP Score'!$A$5:$M14,$A3)</f>
        <v>10.1</v>
      </c>
      <c r="J3" s="575">
        <f>4*'ARP Timing'!I6*VLOOKUP(J$1,'ARP Score'!$A$5:$M14,$A3)</f>
        <v>0</v>
      </c>
      <c r="K3" s="575">
        <f>4*'ARP Timing'!J6*VLOOKUP(K$1,'ARP Score'!$A$5:$M14,$A3)</f>
        <v>0</v>
      </c>
      <c r="L3" s="575">
        <f>4*'ARP Timing'!K6*VLOOKUP(L$1,'ARP Score'!$A$5:$M14,$A3)</f>
        <v>0</v>
      </c>
      <c r="M3" s="575">
        <f>4*'ARP Timing'!L6*VLOOKUP(M$1,'ARP Score'!$A$5:$M14,$A3)</f>
        <v>0</v>
      </c>
      <c r="N3" s="575">
        <f>4*'ARP Timing'!M6*VLOOKUP(N$1,'ARP Score'!$A$5:$M14,$A3)</f>
        <v>0</v>
      </c>
      <c r="O3" s="575">
        <f>4*'ARP Timing'!N6*VLOOKUP(O$1,'ARP Score'!$A$5:$M14,$A3)</f>
        <v>0</v>
      </c>
      <c r="P3" s="575">
        <f>4*'ARP Timing'!O6*VLOOKUP(P$1,'ARP Score'!$A$5:$M14,$A3)</f>
        <v>0</v>
      </c>
      <c r="Q3" s="575">
        <f>4*'ARP Timing'!P6*VLOOKUP(Q$1,'ARP Score'!$A$5:$M14,$A3)</f>
        <v>0</v>
      </c>
      <c r="R3" s="575">
        <f>4*'ARP Timing'!Q6*VLOOKUP(R$1,'ARP Score'!$A$5:$M14,$A3)</f>
        <v>0</v>
      </c>
      <c r="S3" s="575">
        <f>4*'ARP Timing'!R6*VLOOKUP(S$1,'ARP Score'!$A$5:$M14,$A3)</f>
        <v>0</v>
      </c>
      <c r="T3" s="575">
        <f>4*'ARP Timing'!S6*VLOOKUP(T$1,'ARP Score'!$A$5:$M14,$A3)</f>
        <v>0</v>
      </c>
      <c r="U3" s="575">
        <f>4*'ARP Timing'!T6*VLOOKUP(U$1,'ARP Score'!$A$5:$M14,$A3)</f>
        <v>0</v>
      </c>
      <c r="V3" s="575">
        <f>4*'ARP Timing'!U6*VLOOKUP(V$1,'ARP Score'!$A$5:$M14,$A3)</f>
        <v>0</v>
      </c>
      <c r="W3" s="575">
        <f>SUM(C3:U3)/4</f>
        <v>205.8</v>
      </c>
    </row>
    <row r="4" spans="1:23" s="225" customFormat="1" ht="16">
      <c r="A4" s="225">
        <v>5</v>
      </c>
      <c r="B4" s="335" t="s">
        <v>513</v>
      </c>
      <c r="C4" s="334">
        <f>4*'ARP Timing'!B7*VLOOKUP(C$1,'ARP Score'!$A$5:$M15,$A4)</f>
        <v>0</v>
      </c>
      <c r="D4" s="334">
        <f>4*'ARP Timing'!C7*VLOOKUP(D$1,'ARP Score'!$A$5:$M15,$A4)</f>
        <v>0</v>
      </c>
      <c r="E4" s="334">
        <f>4*'ARP Timing'!D7*VLOOKUP(E$1,'ARP Score'!$A$5:$M15,$A4)</f>
        <v>106.5440000000001</v>
      </c>
      <c r="F4" s="334">
        <f>4*'ARP Timing'!E7*VLOOKUP(F$1,'ARP Score'!$A$5:$M15,$A4)</f>
        <v>98.978999999999999</v>
      </c>
      <c r="G4" s="334">
        <f>4*'ARP Timing'!F7*VLOOKUP(G$1,'ARP Score'!$A$5:$M15,$A4)</f>
        <v>98.978999999999999</v>
      </c>
      <c r="H4" s="334">
        <f>4*'ARP Timing'!G7*VLOOKUP(H$1,'ARP Score'!$A$5:$M15,$A4)</f>
        <v>98.978999999999999</v>
      </c>
      <c r="I4" s="334">
        <f>4*'ARP Timing'!H7*VLOOKUP(I$1,'ARP Score'!$A$5:$M15,$A4)</f>
        <v>98.978999999999999</v>
      </c>
      <c r="J4" s="334">
        <f>4*'ARP Timing'!I7*VLOOKUP(J$1,'ARP Score'!$A$5:$M15,$A4)</f>
        <v>2.1159999999999997</v>
      </c>
      <c r="K4" s="334">
        <f>4*'ARP Timing'!J7*VLOOKUP(K$1,'ARP Score'!$A$5:$M15,$A4)</f>
        <v>2.1159999999999997</v>
      </c>
      <c r="L4" s="334">
        <f>4*'ARP Timing'!K7*VLOOKUP(L$1,'ARP Score'!$A$5:$M15,$A4)</f>
        <v>2.1159999999999997</v>
      </c>
      <c r="M4" s="334">
        <f>4*'ARP Timing'!L7*VLOOKUP(M$1,'ARP Score'!$A$5:$M15,$A4)</f>
        <v>2.1159999999999997</v>
      </c>
      <c r="N4" s="334">
        <f>4*'ARP Timing'!M7*VLOOKUP(N$1,'ARP Score'!$A$5:$M15,$A4)</f>
        <v>2.1789999999999998</v>
      </c>
      <c r="O4" s="334">
        <f>4*'ARP Timing'!N7*VLOOKUP(O$1,'ARP Score'!$A$5:$M15,$A4)</f>
        <v>2.1789999999999998</v>
      </c>
      <c r="P4" s="334">
        <f>4*'ARP Timing'!O7*VLOOKUP(P$1,'ARP Score'!$A$5:$M15,$A4)</f>
        <v>2.1789999999999998</v>
      </c>
      <c r="Q4" s="334">
        <f>4*'ARP Timing'!P7*VLOOKUP(Q$1,'ARP Score'!$A$5:$M15,$A4)</f>
        <v>2.1789999999999998</v>
      </c>
      <c r="R4" s="334">
        <f>4*'ARP Timing'!Q7*VLOOKUP(R$1,'ARP Score'!$A$5:$M15,$A4)</f>
        <v>2.33</v>
      </c>
      <c r="S4" s="334">
        <f>4*'ARP Timing'!R7*VLOOKUP(S$1,'ARP Score'!$A$5:$M15,$A4)</f>
        <v>2.33</v>
      </c>
      <c r="T4" s="334">
        <f>4*'ARP Timing'!S7*VLOOKUP(T$1,'ARP Score'!$A$5:$M15,$A4)</f>
        <v>2.33</v>
      </c>
      <c r="U4" s="334">
        <f>4*'ARP Timing'!T7*VLOOKUP(U$1,'ARP Score'!$A$5:$M15,$A4)</f>
        <v>2.33</v>
      </c>
      <c r="V4" s="334">
        <f>4*'ARP Timing'!U7*VLOOKUP(V$1,'ARP Score'!$A$5:$M15,$A4)</f>
        <v>2.371</v>
      </c>
      <c r="W4" s="334">
        <f>SUM(C4:U4)/4</f>
        <v>132.24</v>
      </c>
    </row>
    <row r="5" spans="1:23" s="225" customFormat="1" ht="16">
      <c r="A5" s="225">
        <v>6</v>
      </c>
      <c r="B5" s="335" t="s">
        <v>515</v>
      </c>
      <c r="C5" s="334">
        <f>4*'ARP Timing'!B8*VLOOKUP(C$1,'ARP Score'!$A$5:$M16,$A5)</f>
        <v>0</v>
      </c>
      <c r="D5" s="334">
        <f>4*'ARP Timing'!C8*VLOOKUP(D$1,'ARP Score'!$A$5:$M16,$A5)</f>
        <v>53.448640000000026</v>
      </c>
      <c r="E5" s="334">
        <f>4*'ARP Timing'!D8*VLOOKUP(E$1,'ARP Score'!$A$5:$M16,$A5)</f>
        <v>137.43936000000005</v>
      </c>
      <c r="F5" s="334">
        <f>4*'ARP Timing'!E8*VLOOKUP(F$1,'ARP Score'!$A$5:$M16,$A5)</f>
        <v>52.756999999999998</v>
      </c>
      <c r="G5" s="334">
        <f>4*'ARP Timing'!F8*VLOOKUP(G$1,'ARP Score'!$A$5:$M16,$A5)</f>
        <v>52.756999999999998</v>
      </c>
      <c r="H5" s="334">
        <f>4*'ARP Timing'!G8*VLOOKUP(H$1,'ARP Score'!$A$5:$M16,$A5)</f>
        <v>52.756999999999998</v>
      </c>
      <c r="I5" s="334">
        <f>4*'ARP Timing'!H8*VLOOKUP(I$1,'ARP Score'!$A$5:$M16,$A5)</f>
        <v>52.756999999999998</v>
      </c>
      <c r="J5" s="334">
        <f>4*'ARP Timing'!I8*VLOOKUP(J$1,'ARP Score'!$A$5:$M16,$A5)</f>
        <v>12</v>
      </c>
      <c r="K5" s="334">
        <f>4*'ARP Timing'!J8*VLOOKUP(K$1,'ARP Score'!$A$5:$M16,$A5)</f>
        <v>12</v>
      </c>
      <c r="L5" s="334">
        <f>4*'ARP Timing'!K8*VLOOKUP(L$1,'ARP Score'!$A$5:$M16,$A5)</f>
        <v>12</v>
      </c>
      <c r="M5" s="334">
        <f>4*'ARP Timing'!L8*VLOOKUP(M$1,'ARP Score'!$A$5:$M16,$A5)</f>
        <v>12</v>
      </c>
      <c r="N5" s="334">
        <f>4*'ARP Timing'!M8*VLOOKUP(N$1,'ARP Score'!$A$5:$M16,$A5)</f>
        <v>4.2219999999999995</v>
      </c>
      <c r="O5" s="334">
        <f>4*'ARP Timing'!N8*VLOOKUP(O$1,'ARP Score'!$A$5:$M16,$A5)</f>
        <v>4.2219999999999995</v>
      </c>
      <c r="P5" s="334">
        <f>4*'ARP Timing'!O8*VLOOKUP(P$1,'ARP Score'!$A$5:$M16,$A5)</f>
        <v>4.2219999999999995</v>
      </c>
      <c r="Q5" s="334">
        <f>4*'ARP Timing'!P8*VLOOKUP(Q$1,'ARP Score'!$A$5:$M16,$A5)</f>
        <v>4.2219999999999995</v>
      </c>
      <c r="R5" s="334">
        <f>4*'ARP Timing'!Q8*VLOOKUP(R$1,'ARP Score'!$A$5:$M16,$A5)</f>
        <v>2.3719999999999999</v>
      </c>
      <c r="S5" s="334">
        <f>4*'ARP Timing'!R8*VLOOKUP(S$1,'ARP Score'!$A$5:$M16,$A5)</f>
        <v>2.3719999999999999</v>
      </c>
      <c r="T5" s="334">
        <f>4*'ARP Timing'!S8*VLOOKUP(T$1,'ARP Score'!$A$5:$M16,$A5)</f>
        <v>2.3719999999999999</v>
      </c>
      <c r="U5" s="334">
        <f>4*'ARP Timing'!T8*VLOOKUP(U$1,'ARP Score'!$A$5:$M16,$A5)</f>
        <v>2.3719999999999999</v>
      </c>
      <c r="V5" s="334">
        <f>4*'ARP Timing'!U8*VLOOKUP(V$1,'ARP Score'!$A$5:$M16,$A5)</f>
        <v>0.49</v>
      </c>
      <c r="W5" s="334">
        <f t="shared" ref="W5:W15" si="0">SUM(C5:U5)/4</f>
        <v>119.07300000000002</v>
      </c>
    </row>
    <row r="6" spans="1:23" s="225" customFormat="1" ht="16">
      <c r="A6" s="225">
        <v>7</v>
      </c>
      <c r="B6" s="335" t="s">
        <v>545</v>
      </c>
      <c r="C6" s="334">
        <f>4*'ARP Timing'!B9*VLOOKUP(C$1,'ARP Score'!$A$5:$M17,$A6)</f>
        <v>0</v>
      </c>
      <c r="D6" s="334">
        <f>4*'ARP Timing'!C9*VLOOKUP(D$1,'ARP Score'!$A$5:$M17,$A6)</f>
        <v>58.782959999999989</v>
      </c>
      <c r="E6" s="334">
        <f>4*'ARP Timing'!D9*VLOOKUP(E$1,'ARP Score'!$A$5:$M17,$A6)</f>
        <v>267.78904</v>
      </c>
      <c r="F6" s="334">
        <f>4*'ARP Timing'!E9*VLOOKUP(F$1,'ARP Score'!$A$5:$M17,$A6)</f>
        <v>110.24799999999999</v>
      </c>
      <c r="G6" s="334">
        <f>4*'ARP Timing'!F9*VLOOKUP(G$1,'ARP Score'!$A$5:$M17,$A6)</f>
        <v>110.24799999999999</v>
      </c>
      <c r="H6" s="334">
        <f>4*'ARP Timing'!G9*VLOOKUP(H$1,'ARP Score'!$A$5:$M17,$A6)</f>
        <v>110.24799999999999</v>
      </c>
      <c r="I6" s="334">
        <f>4*'ARP Timing'!H9*VLOOKUP(I$1,'ARP Score'!$A$5:$M17,$A6)</f>
        <v>110.24799999999999</v>
      </c>
      <c r="J6" s="334">
        <f>4*'ARP Timing'!I9*VLOOKUP(J$1,'ARP Score'!$A$5:$M17,$A6)</f>
        <v>12.726000000000001</v>
      </c>
      <c r="K6" s="334">
        <f>4*'ARP Timing'!J9*VLOOKUP(K$1,'ARP Score'!$A$5:$M17,$A6)</f>
        <v>12.726000000000001</v>
      </c>
      <c r="L6" s="334">
        <f>4*'ARP Timing'!K9*VLOOKUP(L$1,'ARP Score'!$A$5:$M17,$A6)</f>
        <v>12.726000000000001</v>
      </c>
      <c r="M6" s="334">
        <f>4*'ARP Timing'!L9*VLOOKUP(M$1,'ARP Score'!$A$5:$M17,$A6)</f>
        <v>12.726000000000001</v>
      </c>
      <c r="N6" s="334">
        <f>4*'ARP Timing'!M9*VLOOKUP(N$1,'ARP Score'!$A$5:$M17,$A6)</f>
        <v>1.365</v>
      </c>
      <c r="O6" s="334">
        <f>4*'ARP Timing'!N9*VLOOKUP(O$1,'ARP Score'!$A$5:$M17,$A6)</f>
        <v>1.365</v>
      </c>
      <c r="P6" s="334">
        <f>4*'ARP Timing'!O9*VLOOKUP(P$1,'ARP Score'!$A$5:$M17,$A6)</f>
        <v>1.365</v>
      </c>
      <c r="Q6" s="334">
        <f>4*'ARP Timing'!P9*VLOOKUP(Q$1,'ARP Score'!$A$5:$M17,$A6)</f>
        <v>1.365</v>
      </c>
      <c r="R6" s="334">
        <f>4*'ARP Timing'!Q9*VLOOKUP(R$1,'ARP Score'!$A$5:$M17,$A6)</f>
        <v>-0.90100000000000025</v>
      </c>
      <c r="S6" s="334">
        <f>4*'ARP Timing'!R9*VLOOKUP(S$1,'ARP Score'!$A$5:$M17,$A6)</f>
        <v>-0.90100000000000025</v>
      </c>
      <c r="T6" s="334">
        <f>4*'ARP Timing'!S9*VLOOKUP(T$1,'ARP Score'!$A$5:$M17,$A6)</f>
        <v>-0.90100000000000025</v>
      </c>
      <c r="U6" s="334">
        <f>4*'ARP Timing'!T9*VLOOKUP(U$1,'ARP Score'!$A$5:$M17,$A6)</f>
        <v>-0.90100000000000025</v>
      </c>
      <c r="V6" s="334">
        <f>4*'ARP Timing'!U9*VLOOKUP(V$1,'ARP Score'!$A$5:$M17,$A6)</f>
        <v>-2.1500000000000004</v>
      </c>
      <c r="W6" s="334">
        <f t="shared" si="0"/>
        <v>205.08100000000007</v>
      </c>
    </row>
    <row r="7" spans="1:23" s="225" customFormat="1" ht="16">
      <c r="A7" s="225">
        <v>8</v>
      </c>
      <c r="B7" s="335" t="s">
        <v>514</v>
      </c>
      <c r="C7" s="334">
        <f>4*'ARP Timing'!B10*VLOOKUP(C$1,'ARP Score'!$A$5:$M18,$A7)</f>
        <v>0</v>
      </c>
      <c r="D7" s="334">
        <f>4*'ARP Timing'!C10*VLOOKUP(D$1,'ARP Score'!$A$5:$M18,$A7)</f>
        <v>15.596</v>
      </c>
      <c r="E7" s="334">
        <f>4*'ARP Timing'!D10*VLOOKUP(E$1,'ARP Score'!$A$5:$M18,$A7)</f>
        <v>15.596</v>
      </c>
      <c r="F7" s="334">
        <f>4*'ARP Timing'!E10*VLOOKUP(F$1,'ARP Score'!$A$5:$M18,$A7)</f>
        <v>7.9489999999999998</v>
      </c>
      <c r="G7" s="334">
        <f>4*'ARP Timing'!F10*VLOOKUP(G$1,'ARP Score'!$A$5:$M18,$A7)</f>
        <v>7.9489999999999998</v>
      </c>
      <c r="H7" s="334">
        <f>4*'ARP Timing'!G10*VLOOKUP(H$1,'ARP Score'!$A$5:$M18,$A7)</f>
        <v>7.9489999999999998</v>
      </c>
      <c r="I7" s="334">
        <f>4*'ARP Timing'!H10*VLOOKUP(I$1,'ARP Score'!$A$5:$M18,$A7)</f>
        <v>7.9489999999999998</v>
      </c>
      <c r="J7" s="334">
        <f>4*'ARP Timing'!I10*VLOOKUP(J$1,'ARP Score'!$A$5:$M18,$A7)</f>
        <v>4.7519999999999998</v>
      </c>
      <c r="K7" s="334">
        <f>4*'ARP Timing'!J10*VLOOKUP(K$1,'ARP Score'!$A$5:$M18,$A7)</f>
        <v>4.7519999999999998</v>
      </c>
      <c r="L7" s="334">
        <f>4*'ARP Timing'!K10*VLOOKUP(L$1,'ARP Score'!$A$5:$M18,$A7)</f>
        <v>4.7519999999999998</v>
      </c>
      <c r="M7" s="334">
        <f>4*'ARP Timing'!L10*VLOOKUP(M$1,'ARP Score'!$A$5:$M18,$A7)</f>
        <v>4.7519999999999998</v>
      </c>
      <c r="N7" s="334">
        <f>4*'ARP Timing'!M10*VLOOKUP(N$1,'ARP Score'!$A$5:$M18,$A7)</f>
        <v>4.637999999999999</v>
      </c>
      <c r="O7" s="334">
        <f>4*'ARP Timing'!N10*VLOOKUP(O$1,'ARP Score'!$A$5:$M18,$A7)</f>
        <v>4.637999999999999</v>
      </c>
      <c r="P7" s="334">
        <f>4*'ARP Timing'!O10*VLOOKUP(P$1,'ARP Score'!$A$5:$M18,$A7)</f>
        <v>4.637999999999999</v>
      </c>
      <c r="Q7" s="334">
        <f>4*'ARP Timing'!P10*VLOOKUP(Q$1,'ARP Score'!$A$5:$M18,$A7)</f>
        <v>4.637999999999999</v>
      </c>
      <c r="R7" s="334">
        <f>4*'ARP Timing'!Q10*VLOOKUP(R$1,'ARP Score'!$A$5:$M18,$A7)</f>
        <v>1.8800000000000001</v>
      </c>
      <c r="S7" s="334">
        <f>4*'ARP Timing'!R10*VLOOKUP(S$1,'ARP Score'!$A$5:$M18,$A7)</f>
        <v>1.8800000000000001</v>
      </c>
      <c r="T7" s="334">
        <f>4*'ARP Timing'!S10*VLOOKUP(T$1,'ARP Score'!$A$5:$M18,$A7)</f>
        <v>1.8800000000000001</v>
      </c>
      <c r="U7" s="334">
        <f>4*'ARP Timing'!T10*VLOOKUP(U$1,'ARP Score'!$A$5:$M18,$A7)</f>
        <v>1.8800000000000001</v>
      </c>
      <c r="V7" s="334">
        <f>4*'ARP Timing'!U10*VLOOKUP(V$1,'ARP Score'!$A$5:$M18,$A7)</f>
        <v>1.446</v>
      </c>
      <c r="W7" s="334">
        <f t="shared" si="0"/>
        <v>27.016999999999996</v>
      </c>
    </row>
    <row r="8" spans="1:23" s="225" customFormat="1">
      <c r="A8" s="225">
        <v>9</v>
      </c>
      <c r="B8" s="339" t="s">
        <v>367</v>
      </c>
      <c r="C8" s="334">
        <f>4*'ARP Timing'!B$11*VLOOKUP(C$1,'ARP Score'!$A$5:$M19,$A8)</f>
        <v>0</v>
      </c>
      <c r="D8" s="334">
        <f>0.6*SUM('ARP Score'!B5:B7)*4</f>
        <v>989.16719999999987</v>
      </c>
      <c r="E8" s="333">
        <v>0</v>
      </c>
      <c r="F8" s="334">
        <v>0</v>
      </c>
      <c r="G8" s="334">
        <v>0</v>
      </c>
      <c r="H8" s="334">
        <f>D8*0.4/0.6</f>
        <v>659.44479999999999</v>
      </c>
      <c r="I8" s="334">
        <v>0</v>
      </c>
      <c r="J8" s="225">
        <v>0</v>
      </c>
      <c r="K8" s="334">
        <v>0</v>
      </c>
      <c r="L8" s="334">
        <v>0</v>
      </c>
      <c r="M8" s="334">
        <v>0</v>
      </c>
      <c r="N8" s="334">
        <v>0</v>
      </c>
      <c r="O8" s="334">
        <v>0</v>
      </c>
      <c r="P8" s="334">
        <v>0</v>
      </c>
      <c r="Q8" s="334">
        <v>0</v>
      </c>
      <c r="R8" s="334">
        <v>0</v>
      </c>
      <c r="S8" s="334">
        <v>0</v>
      </c>
      <c r="T8" s="334">
        <v>0</v>
      </c>
      <c r="U8" s="334">
        <v>0</v>
      </c>
      <c r="V8" s="334">
        <v>0</v>
      </c>
      <c r="W8" s="334">
        <f t="shared" si="0"/>
        <v>412.15299999999996</v>
      </c>
    </row>
    <row r="9" spans="1:23" s="225" customFormat="1">
      <c r="A9" s="225">
        <v>10</v>
      </c>
      <c r="B9" s="339" t="s">
        <v>290</v>
      </c>
      <c r="C9" s="334">
        <f>4*'ARP Timing'!B$11*VLOOKUP(C$1,'ARP Score'!$A$5:$M20,$A9)</f>
        <v>0</v>
      </c>
      <c r="D9" s="334">
        <f>4*'ARP Timing'!C$11*VLOOKUP(D$1,'ARP Score'!$A$5:$M20,$A9)</f>
        <v>24.693999999999999</v>
      </c>
      <c r="E9" s="334">
        <f>4*'ARP Timing'!D$11*VLOOKUP(E$1,'ARP Score'!$A$5:$M20,$A9)</f>
        <v>24.693999999999999</v>
      </c>
      <c r="F9" s="334">
        <f>4*'ARP Timing'!E$11*VLOOKUP(F$1,'ARP Score'!$A$5:$M20,$A9)</f>
        <v>46.79</v>
      </c>
      <c r="G9" s="334">
        <f>4*'ARP Timing'!F$11*VLOOKUP(G$1,'ARP Score'!$A$5:$M20,$A9)</f>
        <v>46.79</v>
      </c>
      <c r="H9" s="334">
        <f>4*'ARP Timing'!G$11*VLOOKUP(H$1,'ARP Score'!$A$5:$M20,$A9)</f>
        <v>46.79</v>
      </c>
      <c r="I9" s="334">
        <f>4*'ARP Timing'!H$11*VLOOKUP(I$1,'ARP Score'!$A$5:$M20,$A9)</f>
        <v>46.79</v>
      </c>
      <c r="J9" s="334">
        <f>4*'ARP Timing'!I$11*VLOOKUP(J$1,'ARP Score'!$A$5:$M20,$A9)</f>
        <v>38.595999999999997</v>
      </c>
      <c r="K9" s="334">
        <f>4*'ARP Timing'!J$11*VLOOKUP(K$1,'ARP Score'!$A$5:$M20,$A9)</f>
        <v>38.595999999999997</v>
      </c>
      <c r="L9" s="334">
        <f>4*'ARP Timing'!K$11*VLOOKUP(L$1,'ARP Score'!$A$5:$M20,$A9)</f>
        <v>38.595999999999997</v>
      </c>
      <c r="M9" s="334">
        <f>4*'ARP Timing'!L$11*VLOOKUP(M$1,'ARP Score'!$A$5:$M20,$A9)</f>
        <v>38.595999999999997</v>
      </c>
      <c r="N9" s="334">
        <f>4*'ARP Timing'!M$11*VLOOKUP(N$1,'ARP Score'!$A$5:$M20,$A9)</f>
        <v>31.911000000000001</v>
      </c>
      <c r="O9" s="334">
        <f>4*'ARP Timing'!N$11*VLOOKUP(O$1,'ARP Score'!$A$5:$M20,$A9)</f>
        <v>31.911000000000001</v>
      </c>
      <c r="P9" s="334">
        <f>4*'ARP Timing'!O$11*VLOOKUP(P$1,'ARP Score'!$A$5:$M20,$A9)</f>
        <v>31.911000000000001</v>
      </c>
      <c r="Q9" s="334">
        <f>4*'ARP Timing'!P$11*VLOOKUP(Q$1,'ARP Score'!$A$5:$M20,$A9)</f>
        <v>31.911000000000001</v>
      </c>
      <c r="R9" s="334">
        <f>4*'ARP Timing'!Q$11*VLOOKUP(R$1,'ARP Score'!$A$5:$M20,$A9)</f>
        <v>23.099</v>
      </c>
      <c r="S9" s="334">
        <f>4*'ARP Timing'!R$11*VLOOKUP(S$1,'ARP Score'!$A$5:$M20,$A9)</f>
        <v>23.099</v>
      </c>
      <c r="T9" s="334">
        <f>4*'ARP Timing'!S$11*VLOOKUP(T$1,'ARP Score'!$A$5:$M20,$A9)</f>
        <v>23.099</v>
      </c>
      <c r="U9" s="334">
        <f>4*'ARP Timing'!T$11*VLOOKUP(U$1,'ARP Score'!$A$5:$M20,$A9)</f>
        <v>23.099</v>
      </c>
      <c r="V9" s="334">
        <f>4*'ARP Timing'!U$11*VLOOKUP(V$1,'ARP Score'!$A$5:$M20,$A9)</f>
        <v>10.766999999999999</v>
      </c>
      <c r="W9" s="334">
        <f t="shared" si="0"/>
        <v>152.74300000000005</v>
      </c>
    </row>
    <row r="10" spans="1:23" s="225" customFormat="1">
      <c r="A10" s="614">
        <v>11</v>
      </c>
      <c r="B10" s="339" t="s">
        <v>394</v>
      </c>
      <c r="C10" s="334">
        <f>4*'ARP Timing'!B$11*VLOOKUP(C$1,'ARP Score'!$A$5:$M22,$A10)</f>
        <v>0</v>
      </c>
      <c r="D10" s="334">
        <f>4*'ARP Timing'!C$11*VLOOKUP(D$1,'ARP Score'!$A$5:$M22,$A10)</f>
        <v>59.256</v>
      </c>
      <c r="E10" s="334">
        <f>4*'ARP Timing'!D$11*VLOOKUP(E$1,'ARP Score'!$A$5:$M22,$A10)</f>
        <v>59.256</v>
      </c>
      <c r="F10" s="334">
        <f>4*'ARP Timing'!E$11*VLOOKUP(F$1,'ARP Score'!$A$5:$M22,$A10)</f>
        <v>35.671000000000006</v>
      </c>
      <c r="G10" s="334">
        <f>4*'ARP Timing'!F$11*VLOOKUP(G$1,'ARP Score'!$A$5:$M22,$A10)</f>
        <v>35.671000000000006</v>
      </c>
      <c r="H10" s="334">
        <f>4*'ARP Timing'!G$11*VLOOKUP(H$1,'ARP Score'!$A$5:$M22,$A10)</f>
        <v>35.671000000000006</v>
      </c>
      <c r="I10" s="334">
        <f>4*'ARP Timing'!H$11*VLOOKUP(I$1,'ARP Score'!$A$5:$M22,$A10)</f>
        <v>35.671000000000006</v>
      </c>
      <c r="J10" s="334">
        <f>4*'ARP Timing'!I$11*VLOOKUP(J$1,'ARP Score'!$A$5:$M22,$A10)</f>
        <v>24.216000000000001</v>
      </c>
      <c r="K10" s="334">
        <f>4*'ARP Timing'!J$11*VLOOKUP(K$1,'ARP Score'!$A$5:$M22,$A10)</f>
        <v>24.216000000000001</v>
      </c>
      <c r="L10" s="334">
        <f>4*'ARP Timing'!K$11*VLOOKUP(L$1,'ARP Score'!$A$5:$M22,$A10)</f>
        <v>24.216000000000001</v>
      </c>
      <c r="M10" s="334">
        <f>4*'ARP Timing'!L$11*VLOOKUP(M$1,'ARP Score'!$A$5:$M22,$A10)</f>
        <v>24.216000000000001</v>
      </c>
      <c r="N10" s="334">
        <f>4*'ARP Timing'!M$11*VLOOKUP(N$1,'ARP Score'!$A$5:$M22,$A10)</f>
        <v>9.6430000000000007</v>
      </c>
      <c r="O10" s="334">
        <f>4*'ARP Timing'!N$11*VLOOKUP(O$1,'ARP Score'!$A$5:$M22,$A10)</f>
        <v>9.6430000000000007</v>
      </c>
      <c r="P10" s="334">
        <f>4*'ARP Timing'!O$11*VLOOKUP(P$1,'ARP Score'!$A$5:$M22,$A10)</f>
        <v>9.6430000000000007</v>
      </c>
      <c r="Q10" s="334">
        <f>4*'ARP Timing'!P$11*VLOOKUP(Q$1,'ARP Score'!$A$5:$M22,$A10)</f>
        <v>9.6430000000000007</v>
      </c>
      <c r="R10" s="334">
        <f>4*'ARP Timing'!Q$11*VLOOKUP(R$1,'ARP Score'!$A$5:$M22,$A10)</f>
        <v>4.5789999999999997</v>
      </c>
      <c r="S10" s="334">
        <f>4*'ARP Timing'!R$11*VLOOKUP(S$1,'ARP Score'!$A$5:$M22,$A10)</f>
        <v>4.5789999999999997</v>
      </c>
      <c r="T10" s="334">
        <f>4*'ARP Timing'!S$11*VLOOKUP(T$1,'ARP Score'!$A$5:$M22,$A10)</f>
        <v>4.5789999999999997</v>
      </c>
      <c r="U10" s="334">
        <f>4*'ARP Timing'!T$11*VLOOKUP(U$1,'ARP Score'!$A$5:$M22,$A10)</f>
        <v>4.5789999999999997</v>
      </c>
      <c r="V10" s="334">
        <f>4*'ARP Timing'!U$11*VLOOKUP(V$1,'ARP Score'!$A$5:$M22,$A10)</f>
        <v>2.9130000000000003</v>
      </c>
      <c r="W10" s="334">
        <f t="shared" si="0"/>
        <v>103.73700000000002</v>
      </c>
    </row>
    <row r="11" spans="1:23" s="225" customFormat="1" ht="16">
      <c r="A11" s="225">
        <v>12</v>
      </c>
      <c r="B11" s="336" t="s">
        <v>532</v>
      </c>
      <c r="C11" s="334">
        <f>4*'ARP Timing'!B12*VLOOKUP(C$1,'ARP Score'!$A$5:$M20,$A11)</f>
        <v>103</v>
      </c>
      <c r="D11" s="334">
        <f>4*'ARP Timing'!C12*VLOOKUP(D$1,'ARP Score'!$A$5:$M20,$A11)</f>
        <v>0</v>
      </c>
      <c r="E11" s="334">
        <f>4*'ARP Timing'!D12*VLOOKUP(E$1,'ARP Score'!$A$5:$M20,$A11)</f>
        <v>0</v>
      </c>
      <c r="F11" s="334">
        <f>4*'ARP Timing'!E12*VLOOKUP(F$1,'ARP Score'!$A$5:$M20,$A11)</f>
        <v>0</v>
      </c>
      <c r="G11" s="334">
        <f>4*'ARP Timing'!F12*VLOOKUP(G$1,'ARP Score'!$A$5:$M20,$A11)</f>
        <v>0</v>
      </c>
      <c r="H11" s="334">
        <f>4*'ARP Timing'!G12*VLOOKUP(H$1,'ARP Score'!$A$5:$M20,$A11)</f>
        <v>0</v>
      </c>
      <c r="I11" s="334">
        <f>4*'ARP Timing'!H12*VLOOKUP(I$1,'ARP Score'!$A$5:$M20,$A11)</f>
        <v>0</v>
      </c>
      <c r="J11" s="334">
        <f>4*'ARP Timing'!I12*VLOOKUP(J$1,'ARP Score'!$A$5:$M20,$A11)</f>
        <v>0</v>
      </c>
      <c r="K11" s="334">
        <f>4*'ARP Timing'!J12*VLOOKUP(K$1,'ARP Score'!$A$5:$M20,$A11)</f>
        <v>0</v>
      </c>
      <c r="L11" s="334">
        <f>4*'ARP Timing'!K12*VLOOKUP(L$1,'ARP Score'!$A$5:$M20,$A11)</f>
        <v>0</v>
      </c>
      <c r="M11" s="334">
        <f>4*'ARP Timing'!L12*VLOOKUP(M$1,'ARP Score'!$A$5:$M20,$A11)</f>
        <v>0</v>
      </c>
      <c r="N11" s="334">
        <f>4*'ARP Timing'!M12*VLOOKUP(N$1,'ARP Score'!$A$5:$M20,$A11)</f>
        <v>0</v>
      </c>
      <c r="O11" s="334">
        <f>4*'ARP Timing'!N12*VLOOKUP(O$1,'ARP Score'!$A$5:$M20,$A11)</f>
        <v>0</v>
      </c>
      <c r="P11" s="334">
        <f>4*'ARP Timing'!O12*VLOOKUP(P$1,'ARP Score'!$A$5:$M20,$A11)</f>
        <v>0</v>
      </c>
      <c r="Q11" s="334">
        <f>4*'ARP Timing'!P12*VLOOKUP(Q$1,'ARP Score'!$A$5:$M20,$A11)</f>
        <v>0</v>
      </c>
      <c r="R11" s="334">
        <f>4*'ARP Timing'!Q12*VLOOKUP(R$1,'ARP Score'!$A$5:$M20,$A11)</f>
        <v>0</v>
      </c>
      <c r="S11" s="334">
        <f>4*'ARP Timing'!R12*VLOOKUP(S$1,'ARP Score'!$A$5:$M20,$A11)</f>
        <v>0</v>
      </c>
      <c r="T11" s="334">
        <f>4*'ARP Timing'!S12*VLOOKUP(T$1,'ARP Score'!$A$5:$M20,$A11)</f>
        <v>0</v>
      </c>
      <c r="U11" s="334">
        <f>4*'ARP Timing'!T12*VLOOKUP(U$1,'ARP Score'!$A$5:$M20,$A11)</f>
        <v>0</v>
      </c>
      <c r="V11" s="334">
        <f>4*'ARP Timing'!U12*VLOOKUP(V$1,'ARP Score'!$A$5:$M20,$A11)</f>
        <v>0</v>
      </c>
      <c r="W11" s="334">
        <f t="shared" si="0"/>
        <v>25.75</v>
      </c>
    </row>
    <row r="12" spans="1:23" s="225" customFormat="1" ht="16">
      <c r="A12" s="225">
        <v>13</v>
      </c>
      <c r="B12" s="335" t="s">
        <v>382</v>
      </c>
      <c r="C12" s="334">
        <f>4*'ARP Timing'!B13*VLOOKUP(C$1,'ARP Score'!$A$5:$M21,$A12)</f>
        <v>0</v>
      </c>
      <c r="D12" s="334">
        <f>4*'ARP Timing'!C13*VLOOKUP(D$1,'ARP Score'!$A$5:$M21,$A12)</f>
        <v>51.102400000000003</v>
      </c>
      <c r="E12" s="334">
        <f>4*'ARP Timing'!D13*VLOOKUP(E$1,'ARP Score'!$A$5:$M21,$A12)</f>
        <v>76.653599999999997</v>
      </c>
      <c r="F12" s="334">
        <f>4*'ARP Timing'!E13*VLOOKUP(F$1,'ARP Score'!$A$5:$M21,$A12)</f>
        <v>90.260800000000003</v>
      </c>
      <c r="G12" s="334">
        <f>4*'ARP Timing'!F13*VLOOKUP(G$1,'ARP Score'!$A$5:$M21,$A12)</f>
        <v>67.695599999999999</v>
      </c>
      <c r="H12" s="334">
        <f>4*'ARP Timing'!G13*VLOOKUP(H$1,'ARP Score'!$A$5:$M21,$A12)</f>
        <v>45.130400000000002</v>
      </c>
      <c r="I12" s="334">
        <f>4*'ARP Timing'!H13*VLOOKUP(I$1,'ARP Score'!$A$5:$M21,$A12)</f>
        <v>22.565200000000001</v>
      </c>
      <c r="J12" s="334">
        <f>4*'ARP Timing'!I13*VLOOKUP(J$1,'ARP Score'!$A$5:$M21,$A12)</f>
        <v>15.652999999999999</v>
      </c>
      <c r="K12" s="334">
        <f>4*'ARP Timing'!J13*VLOOKUP(K$1,'ARP Score'!$A$5:$M21,$A12)</f>
        <v>15.652999999999999</v>
      </c>
      <c r="L12" s="334">
        <f>4*'ARP Timing'!K13*VLOOKUP(L$1,'ARP Score'!$A$5:$M21,$A12)</f>
        <v>15.652999999999999</v>
      </c>
      <c r="M12" s="334">
        <f>4*'ARP Timing'!L13*VLOOKUP(M$1,'ARP Score'!$A$5:$M21,$A12)</f>
        <v>15.652999999999999</v>
      </c>
      <c r="N12" s="334">
        <f>4*'ARP Timing'!M13*VLOOKUP(N$1,'ARP Score'!$A$5:$M21,$A12)</f>
        <v>3.9320000000000004</v>
      </c>
      <c r="O12" s="334">
        <f>4*'ARP Timing'!N13*VLOOKUP(O$1,'ARP Score'!$A$5:$M21,$A12)</f>
        <v>3.9320000000000004</v>
      </c>
      <c r="P12" s="334">
        <f>4*'ARP Timing'!O13*VLOOKUP(P$1,'ARP Score'!$A$5:$M21,$A12)</f>
        <v>3.9320000000000004</v>
      </c>
      <c r="Q12" s="334">
        <f>4*'ARP Timing'!P13*VLOOKUP(Q$1,'ARP Score'!$A$5:$M21,$A12)</f>
        <v>3.9320000000000004</v>
      </c>
      <c r="R12" s="334">
        <f>4*'ARP Timing'!Q13*VLOOKUP(R$1,'ARP Score'!$A$5:$M21,$A12)</f>
        <v>-0.74299999999999988</v>
      </c>
      <c r="S12" s="334">
        <f>4*'ARP Timing'!R13*VLOOKUP(S$1,'ARP Score'!$A$5:$M21,$A12)</f>
        <v>-0.74299999999999988</v>
      </c>
      <c r="T12" s="334">
        <f>4*'ARP Timing'!S13*VLOOKUP(T$1,'ARP Score'!$A$5:$M21,$A12)</f>
        <v>-0.74299999999999988</v>
      </c>
      <c r="U12" s="334">
        <f>4*'ARP Timing'!T13*VLOOKUP(U$1,'ARP Score'!$A$5:$M21,$A12)</f>
        <v>-0.74299999999999988</v>
      </c>
      <c r="V12" s="334">
        <f>4*'ARP Timing'!U13*VLOOKUP(V$1,'ARP Score'!$A$5:$M21,$A12)</f>
        <v>-21.606000000000002</v>
      </c>
      <c r="W12" s="334">
        <f t="shared" si="0"/>
        <v>107.19400000000005</v>
      </c>
    </row>
    <row r="13" spans="1:23">
      <c r="A13" s="50">
        <v>15</v>
      </c>
      <c r="B13" s="50" t="s">
        <v>551</v>
      </c>
      <c r="C13" s="334">
        <f>0.3*'ARP Score'!$N5*4*'ARP Timing'!B6</f>
        <v>0</v>
      </c>
      <c r="D13" s="334">
        <f>0.3*'ARP Score'!$N5*4*'ARP Timing'!C6</f>
        <v>1.1424000000000001</v>
      </c>
      <c r="E13" s="334">
        <f>0.3*'ARP Score'!$N5*4*'ARP Timing'!D6</f>
        <v>2.9375999999999998</v>
      </c>
      <c r="F13" s="334">
        <f>0.3*'ARP Score'!$N6*4*'ARP Timing'!E6</f>
        <v>1.5299999999999998</v>
      </c>
      <c r="G13" s="334">
        <f>0.3*'ARP Score'!$N6*4*'ARP Timing'!F6</f>
        <v>1.5299999999999998</v>
      </c>
      <c r="H13" s="334">
        <f>0.3*'ARP Score'!$N6*4*'ARP Timing'!G6</f>
        <v>1.5299999999999998</v>
      </c>
      <c r="I13" s="334">
        <f>0.3*'ARP Score'!$N6*4*'ARP Timing'!H6</f>
        <v>1.5299999999999998</v>
      </c>
      <c r="J13" s="334">
        <f>0.3*'ARP Score'!$N7*4*'ARP Timing'!I6</f>
        <v>0</v>
      </c>
      <c r="K13" s="334">
        <f>0.3*'ARP Score'!$N7*4*'ARP Timing'!J6</f>
        <v>0</v>
      </c>
      <c r="L13" s="334">
        <f>0.3*'ARP Score'!$N7*4*'ARP Timing'!K6</f>
        <v>0</v>
      </c>
      <c r="M13" s="334">
        <f>0.3*'ARP Score'!$N7*4*'ARP Timing'!L6</f>
        <v>0</v>
      </c>
      <c r="N13" s="334">
        <f>0.3*'ARP Score'!$N7*4*'ARP Timing'!M6</f>
        <v>0</v>
      </c>
      <c r="O13" s="334">
        <f>0.3*'ARP Score'!$N7*4*'ARP Timing'!N6</f>
        <v>0</v>
      </c>
      <c r="P13" s="334">
        <f>0.3*'ARP Score'!$N7*4*'ARP Timing'!O6</f>
        <v>0</v>
      </c>
      <c r="Q13" s="334">
        <f>0.3*'ARP Score'!$N7*4*'ARP Timing'!P6</f>
        <v>0</v>
      </c>
      <c r="R13" s="334">
        <f>0.3*'ARP Score'!$N7*4*'ARP Timing'!Q6</f>
        <v>0</v>
      </c>
      <c r="S13" s="334">
        <f>0.3*'ARP Score'!$N7*4*'ARP Timing'!R6</f>
        <v>0</v>
      </c>
      <c r="T13" s="334">
        <f>0.3*'ARP Score'!$N7*4*'ARP Timing'!S6</f>
        <v>0</v>
      </c>
      <c r="U13" s="334">
        <f>0.3*'ARP Score'!$N7*4*'ARP Timing'!T6</f>
        <v>0</v>
      </c>
      <c r="V13" s="334">
        <f>0.3*'ARP Score'!$N7*4*'ARP Timing'!U6</f>
        <v>0</v>
      </c>
      <c r="W13" s="334">
        <f t="shared" si="0"/>
        <v>2.5499999999999994</v>
      </c>
    </row>
    <row r="14" spans="1:23" s="225" customFormat="1">
      <c r="A14" s="225">
        <v>14</v>
      </c>
      <c r="B14" s="225" t="s">
        <v>552</v>
      </c>
      <c r="C14" s="334">
        <f>C13/0.3*0.2</f>
        <v>0</v>
      </c>
      <c r="D14" s="334">
        <f t="shared" ref="D14:F14" si="1">D13/0.3*0.2</f>
        <v>0.76160000000000005</v>
      </c>
      <c r="E14" s="334">
        <f t="shared" si="1"/>
        <v>1.9584000000000001</v>
      </c>
      <c r="F14" s="334">
        <f t="shared" si="1"/>
        <v>1.02</v>
      </c>
      <c r="G14" s="334">
        <f t="shared" ref="G14" si="2">G13/0.3*0.2</f>
        <v>1.02</v>
      </c>
      <c r="H14" s="334">
        <f t="shared" ref="H14" si="3">H13/0.3*0.2</f>
        <v>1.02</v>
      </c>
      <c r="I14" s="334">
        <f t="shared" ref="I14" si="4">I13/0.3*0.2</f>
        <v>1.02</v>
      </c>
      <c r="J14" s="334">
        <f t="shared" ref="J14" si="5">J13/0.3*0.2</f>
        <v>0</v>
      </c>
      <c r="K14" s="334">
        <f t="shared" ref="K14" si="6">K13/0.3*0.2</f>
        <v>0</v>
      </c>
      <c r="L14" s="334">
        <f t="shared" ref="L14" si="7">L13/0.3*0.2</f>
        <v>0</v>
      </c>
      <c r="M14" s="334">
        <f t="shared" ref="M14" si="8">M13/0.3*0.2</f>
        <v>0</v>
      </c>
      <c r="N14" s="334">
        <f t="shared" ref="N14" si="9">N13/0.3*0.2</f>
        <v>0</v>
      </c>
      <c r="O14" s="334">
        <f t="shared" ref="O14" si="10">O13/0.3*0.2</f>
        <v>0</v>
      </c>
      <c r="P14" s="334">
        <f t="shared" ref="P14" si="11">P13/0.3*0.2</f>
        <v>0</v>
      </c>
      <c r="Q14" s="334">
        <f t="shared" ref="Q14" si="12">Q13/0.3*0.2</f>
        <v>0</v>
      </c>
      <c r="R14" s="334">
        <f t="shared" ref="R14" si="13">R13/0.3*0.2</f>
        <v>0</v>
      </c>
      <c r="S14" s="334">
        <f t="shared" ref="S14" si="14">S13/0.3*0.2</f>
        <v>0</v>
      </c>
      <c r="T14" s="334">
        <f t="shared" ref="T14" si="15">T13/0.3*0.2</f>
        <v>0</v>
      </c>
      <c r="U14" s="334">
        <f t="shared" ref="U14" si="16">U13/0.3*0.2</f>
        <v>0</v>
      </c>
      <c r="V14" s="334">
        <f t="shared" ref="V14" si="17">V13/0.3*0.2</f>
        <v>0</v>
      </c>
      <c r="W14" s="334">
        <f t="shared" si="0"/>
        <v>1.6999999999999997</v>
      </c>
    </row>
    <row r="15" spans="1:23" s="225" customFormat="1">
      <c r="A15" s="225">
        <v>14</v>
      </c>
      <c r="B15" s="225" t="s">
        <v>487</v>
      </c>
      <c r="C15" s="334">
        <f>C14/0.2*0.5</f>
        <v>0</v>
      </c>
      <c r="D15" s="334">
        <f t="shared" ref="D15:F15" si="18">D14/0.2*0.5</f>
        <v>1.9040000000000001</v>
      </c>
      <c r="E15" s="334">
        <f t="shared" si="18"/>
        <v>4.8959999999999999</v>
      </c>
      <c r="F15" s="334">
        <f t="shared" si="18"/>
        <v>2.5499999999999998</v>
      </c>
      <c r="G15" s="334">
        <f t="shared" ref="G15" si="19">G14/0.2*0.5</f>
        <v>2.5499999999999998</v>
      </c>
      <c r="H15" s="334">
        <f t="shared" ref="H15" si="20">H14/0.2*0.5</f>
        <v>2.5499999999999998</v>
      </c>
      <c r="I15" s="334">
        <f t="shared" ref="I15" si="21">I14/0.2*0.5</f>
        <v>2.5499999999999998</v>
      </c>
      <c r="J15" s="334">
        <f t="shared" ref="J15" si="22">J14/0.2*0.5</f>
        <v>0</v>
      </c>
      <c r="K15" s="334">
        <f t="shared" ref="K15" si="23">K14/0.2*0.5</f>
        <v>0</v>
      </c>
      <c r="L15" s="334">
        <f t="shared" ref="L15" si="24">L14/0.2*0.5</f>
        <v>0</v>
      </c>
      <c r="M15" s="334">
        <f t="shared" ref="M15" si="25">M14/0.2*0.5</f>
        <v>0</v>
      </c>
      <c r="N15" s="334">
        <f t="shared" ref="N15" si="26">N14/0.2*0.5</f>
        <v>0</v>
      </c>
      <c r="O15" s="334">
        <f t="shared" ref="O15" si="27">O14/0.2*0.5</f>
        <v>0</v>
      </c>
      <c r="P15" s="334">
        <f t="shared" ref="P15" si="28">P14/0.2*0.5</f>
        <v>0</v>
      </c>
      <c r="Q15" s="334">
        <f t="shared" ref="Q15" si="29">Q14/0.2*0.5</f>
        <v>0</v>
      </c>
      <c r="R15" s="334">
        <f t="shared" ref="R15" si="30">R14/0.2*0.5</f>
        <v>0</v>
      </c>
      <c r="S15" s="334">
        <f t="shared" ref="S15" si="31">S14/0.2*0.5</f>
        <v>0</v>
      </c>
      <c r="T15" s="334">
        <f t="shared" ref="T15" si="32">T14/0.2*0.5</f>
        <v>0</v>
      </c>
      <c r="U15" s="334">
        <f t="shared" ref="U15" si="33">U14/0.2*0.5</f>
        <v>0</v>
      </c>
      <c r="V15" s="334">
        <f t="shared" ref="V15" si="34">V14/0.2*0.5</f>
        <v>0</v>
      </c>
      <c r="W15" s="334">
        <f t="shared" si="0"/>
        <v>4.25</v>
      </c>
    </row>
    <row r="16" spans="1:23" s="225" customFormat="1">
      <c r="C16" s="575"/>
      <c r="D16" s="575"/>
      <c r="E16" s="575"/>
      <c r="F16" s="575"/>
      <c r="G16" s="575"/>
      <c r="H16" s="575"/>
      <c r="I16" s="575"/>
      <c r="J16" s="575"/>
      <c r="K16" s="575"/>
      <c r="L16" s="575"/>
      <c r="M16" s="575"/>
      <c r="N16" s="575"/>
      <c r="O16" s="575"/>
      <c r="P16" s="575"/>
      <c r="Q16" s="575"/>
      <c r="R16" s="575"/>
      <c r="S16" s="575"/>
      <c r="T16" s="575"/>
      <c r="U16" s="575"/>
      <c r="V16" s="575"/>
      <c r="W16" s="575"/>
    </row>
    <row r="17" spans="1:23" s="225" customFormat="1">
      <c r="A17" s="225" t="s">
        <v>1192</v>
      </c>
      <c r="C17" s="575"/>
      <c r="D17" s="575"/>
      <c r="E17" s="575"/>
      <c r="F17" s="575"/>
      <c r="G17" s="575"/>
      <c r="H17" s="575"/>
      <c r="I17" s="575"/>
      <c r="J17" s="575"/>
      <c r="K17" s="575"/>
      <c r="L17" s="575"/>
      <c r="M17" s="575"/>
      <c r="N17" s="575"/>
      <c r="O17" s="575"/>
      <c r="P17" s="575"/>
      <c r="Q17" s="575"/>
      <c r="R17" s="575"/>
      <c r="S17" s="575"/>
      <c r="T17" s="575"/>
      <c r="U17" s="575"/>
      <c r="V17" s="575"/>
      <c r="W17" s="575"/>
    </row>
    <row r="18" spans="1:23" s="225" customFormat="1">
      <c r="B18" s="195" t="s">
        <v>409</v>
      </c>
      <c r="C18" s="575">
        <f>'ARP Score'!$BG5/'ARP Score'!$G5*C6</f>
        <v>0</v>
      </c>
      <c r="D18" s="575">
        <f>'ARP Score'!$BG5/'ARP Score'!$G5*D6</f>
        <v>2.2132800000000001</v>
      </c>
      <c r="E18" s="575">
        <f>'ARP Score'!$BG5/'ARP Score'!$G5*E6</f>
        <v>10.082720000000002</v>
      </c>
      <c r="F18" s="575">
        <f>'ARP Score'!$BG6/'ARP Score'!$G6*F6</f>
        <v>7.1439999999999992</v>
      </c>
      <c r="G18" s="575">
        <f>'ARP Score'!$BG6/'ARP Score'!$G6*G6</f>
        <v>7.1439999999999992</v>
      </c>
      <c r="H18" s="575">
        <f>'ARP Score'!$BG6/'ARP Score'!$G6*H6</f>
        <v>7.1439999999999992</v>
      </c>
      <c r="I18" s="575">
        <f>'ARP Score'!$BG6/'ARP Score'!$G6*I6</f>
        <v>7.1439999999999992</v>
      </c>
      <c r="J18" s="575">
        <f>'ARP Score'!$BG7/'ARP Score'!$G7*J6</f>
        <v>0</v>
      </c>
      <c r="K18" s="575">
        <f>'ARP Score'!$BG7/'ARP Score'!$G7*K6</f>
        <v>0</v>
      </c>
      <c r="L18" s="575">
        <f>'ARP Score'!$BG7/'ARP Score'!$G7*L6</f>
        <v>0</v>
      </c>
      <c r="M18" s="575">
        <f>'ARP Score'!$BG7/'ARP Score'!$G7*M6</f>
        <v>0</v>
      </c>
      <c r="N18" s="575"/>
      <c r="O18" s="575"/>
      <c r="P18" s="575"/>
      <c r="Q18" s="575"/>
      <c r="R18" s="575"/>
      <c r="S18" s="575"/>
      <c r="T18" s="575"/>
      <c r="U18" s="575"/>
      <c r="V18" s="575"/>
      <c r="W18" s="575"/>
    </row>
    <row r="19" spans="1:23" s="225" customFormat="1">
      <c r="B19" s="195" t="s">
        <v>1196</v>
      </c>
      <c r="C19" s="575">
        <f>'ARP Score'!$BI5/'ARP Score'!$G5*C6</f>
        <v>0</v>
      </c>
      <c r="D19" s="575">
        <f>'ARP Score'!$BI5/'ARP Score'!$G5*D6</f>
        <v>15.128640000000001</v>
      </c>
      <c r="E19" s="575">
        <f>'ARP Score'!$BI5/'ARP Score'!$G5*E6</f>
        <v>68.919360000000012</v>
      </c>
      <c r="F19" s="575">
        <f>'ARP Score'!$BI6/'ARP Score'!$G6*F6</f>
        <v>5.6120000000000001</v>
      </c>
      <c r="G19" s="575">
        <f>'ARP Score'!$BI6/'ARP Score'!$G6*G6</f>
        <v>5.6120000000000001</v>
      </c>
      <c r="H19" s="575">
        <f>'ARP Score'!$BI6/'ARP Score'!$G6*H6</f>
        <v>5.6120000000000001</v>
      </c>
      <c r="I19" s="575">
        <f>'ARP Score'!$BI6/'ARP Score'!$G6*I6</f>
        <v>5.6120000000000001</v>
      </c>
      <c r="J19" s="575">
        <f>'ARP Score'!$B7/'ARP Score'!$G7*J6</f>
        <v>0.48599999999999993</v>
      </c>
      <c r="K19" s="575">
        <f>'ARP Score'!$B7/'ARP Score'!$G7*K6</f>
        <v>0.48599999999999993</v>
      </c>
      <c r="L19" s="575">
        <f>'ARP Score'!$B7/'ARP Score'!$G7*L6</f>
        <v>0.48599999999999993</v>
      </c>
      <c r="M19" s="575">
        <f>'ARP Score'!$B7/'ARP Score'!$G7*M6</f>
        <v>0.48599999999999993</v>
      </c>
      <c r="N19" s="575">
        <f>'ARP Score'!$B8/'ARP Score'!$G8*N6</f>
        <v>0</v>
      </c>
      <c r="O19" s="575"/>
      <c r="P19" s="575"/>
      <c r="Q19" s="575"/>
      <c r="R19" s="575"/>
      <c r="S19" s="575"/>
      <c r="T19" s="575"/>
      <c r="U19" s="575"/>
      <c r="V19" s="575"/>
      <c r="W19" s="575"/>
    </row>
    <row r="20" spans="1:23" s="225" customFormat="1">
      <c r="B20" s="195" t="s">
        <v>414</v>
      </c>
      <c r="C20" s="575">
        <f>'ARP Score'!$BF5/'ARP Score'!$G5*C6</f>
        <v>0</v>
      </c>
      <c r="D20" s="575">
        <f>'ARP Score'!$BF5/'ARP Score'!$G5*D6</f>
        <v>3.2479199999999997</v>
      </c>
      <c r="E20" s="575">
        <f>'ARP Score'!$BF5/'ARP Score'!$G5*E6</f>
        <v>14.796080000000002</v>
      </c>
      <c r="F20" s="575">
        <f>'ARP Score'!$BF6/'ARP Score'!$G6*F6</f>
        <v>1.7329999999999999</v>
      </c>
      <c r="G20" s="575">
        <f>'ARP Score'!$BF6/'ARP Score'!$G6*G6</f>
        <v>1.7329999999999999</v>
      </c>
      <c r="H20" s="575">
        <f>'ARP Score'!$BF6/'ARP Score'!$G6*H6</f>
        <v>1.7329999999999999</v>
      </c>
      <c r="I20" s="575">
        <f>'ARP Score'!$BF6/'ARP Score'!$G6*I6</f>
        <v>1.7329999999999999</v>
      </c>
      <c r="J20" s="575">
        <f>'ARP Score'!$BF7/'ARP Score'!$G7*J6</f>
        <v>0</v>
      </c>
      <c r="K20" s="575">
        <f>'ARP Score'!$BF7/'ARP Score'!$G7*K6</f>
        <v>0</v>
      </c>
      <c r="L20" s="575">
        <f>'ARP Score'!$BF7/'ARP Score'!$G7*L6</f>
        <v>0</v>
      </c>
      <c r="M20" s="575">
        <f>'ARP Score'!$BF7/'ARP Score'!$G7*M6</f>
        <v>0</v>
      </c>
      <c r="N20" s="575"/>
      <c r="O20" s="575"/>
      <c r="P20" s="575"/>
      <c r="Q20" s="575"/>
      <c r="R20" s="575"/>
      <c r="S20" s="575"/>
      <c r="T20" s="575"/>
      <c r="U20" s="575"/>
      <c r="V20" s="575"/>
      <c r="W20" s="575"/>
    </row>
    <row r="21" spans="1:23" s="225" customFormat="1">
      <c r="B21" s="1086" t="s">
        <v>305</v>
      </c>
      <c r="C21" s="575">
        <f>15/40*(C6*'ARP Score'!$BD5/'ARP Score'!$G5)</f>
        <v>0</v>
      </c>
      <c r="D21" s="575">
        <f>15/40*(D6*('ARP Score'!$BD5+'ARP Score'!$BE5)/'ARP Score'!$G5)</f>
        <v>13.2921</v>
      </c>
      <c r="E21" s="575">
        <f>15/40*(E6*('ARP Score'!$BD5+'ARP Score'!$BE5)/'ARP Score'!$G5)</f>
        <v>60.552900000000008</v>
      </c>
      <c r="F21" s="575">
        <f>15/40*(F6*('ARP Score'!$BD6+'ARP Score'!$BE6)/'ARP Score'!$G6)</f>
        <v>1.0687500000000001</v>
      </c>
      <c r="G21" s="575">
        <f>15/40*(G6*('ARP Score'!$BD6+'ARP Score'!$BE6)/'ARP Score'!$G6)</f>
        <v>1.0687500000000001</v>
      </c>
      <c r="H21" s="575">
        <f>15/40*(H6*('ARP Score'!$BD6+'ARP Score'!$BE6)/'ARP Score'!$G6)</f>
        <v>1.0687500000000001</v>
      </c>
      <c r="I21" s="575">
        <f>15/40*(I6*('ARP Score'!$BD6+'ARP Score'!$BE6)/'ARP Score'!$G6)</f>
        <v>1.0687500000000001</v>
      </c>
      <c r="J21" s="575">
        <f>15/40*(J6*('ARP Score'!$BD7+'ARP Score'!$BE7)/'ARP Score'!$G7)</f>
        <v>0.78750000000000009</v>
      </c>
      <c r="K21" s="575">
        <f>15/40*(K6*('ARP Score'!$BD7+'ARP Score'!$BE7)/'ARP Score'!$G7)</f>
        <v>0.78750000000000009</v>
      </c>
      <c r="L21" s="575">
        <f>15/40*(L6*('ARP Score'!$BD7+'ARP Score'!$BE7)/'ARP Score'!$G7)</f>
        <v>0.78750000000000009</v>
      </c>
      <c r="M21" s="575">
        <f>15/40*(M6*('ARP Score'!$BD7+'ARP Score'!$BE7)/'ARP Score'!$G7)</f>
        <v>0.78750000000000009</v>
      </c>
      <c r="N21" s="575"/>
      <c r="O21" s="575"/>
      <c r="P21" s="575"/>
      <c r="Q21" s="575"/>
      <c r="R21" s="575"/>
      <c r="S21" s="575"/>
      <c r="T21" s="575"/>
      <c r="U21" s="575"/>
      <c r="V21" s="575"/>
      <c r="W21" s="575"/>
    </row>
    <row r="22" spans="1:23" s="225" customFormat="1">
      <c r="B22" s="1086" t="s">
        <v>1195</v>
      </c>
      <c r="C22" s="575"/>
      <c r="D22" s="575">
        <f>D21/15*25</f>
        <v>22.153499999999998</v>
      </c>
      <c r="E22" s="575">
        <f>E21/15*25</f>
        <v>100.92150000000002</v>
      </c>
      <c r="F22" s="575">
        <f>F21/15*25</f>
        <v>1.7812500000000002</v>
      </c>
      <c r="G22" s="575">
        <f t="shared" ref="G22:J22" si="35">G21/15*25</f>
        <v>1.7812500000000002</v>
      </c>
      <c r="H22" s="575">
        <f t="shared" si="35"/>
        <v>1.7812500000000002</v>
      </c>
      <c r="I22" s="575">
        <f t="shared" si="35"/>
        <v>1.7812500000000002</v>
      </c>
      <c r="J22" s="575">
        <f t="shared" si="35"/>
        <v>1.3125000000000002</v>
      </c>
      <c r="K22" s="575">
        <f t="shared" ref="K22" si="36">K21/15*25</f>
        <v>1.3125000000000002</v>
      </c>
      <c r="L22" s="575">
        <f t="shared" ref="L22" si="37">L21/15*25</f>
        <v>1.3125000000000002</v>
      </c>
      <c r="M22" s="575">
        <f t="shared" ref="M22" si="38">M21/15*25</f>
        <v>1.3125000000000002</v>
      </c>
      <c r="N22" s="575"/>
      <c r="O22" s="575"/>
      <c r="P22" s="575"/>
      <c r="Q22" s="575"/>
      <c r="R22" s="575"/>
      <c r="S22" s="575"/>
      <c r="T22" s="575"/>
      <c r="U22" s="575"/>
      <c r="V22" s="575"/>
      <c r="W22" s="575"/>
    </row>
    <row r="23" spans="1:23" s="225" customFormat="1">
      <c r="B23" s="1089" t="s">
        <v>93</v>
      </c>
      <c r="C23" s="575">
        <f>'ARP Score'!$BB5/'ARP Score'!$G5*C6</f>
        <v>0</v>
      </c>
      <c r="D23" s="575">
        <f>'ARP Score'!$BB5/'ARP Score'!$G5*D6</f>
        <v>2.9519999999999995</v>
      </c>
      <c r="E23" s="575">
        <f>'ARP Score'!$BB5/'ARP Score'!$G5*E6</f>
        <v>13.448</v>
      </c>
      <c r="F23" s="575">
        <f>'ARP Score'!$BB6/'ARP Score'!$G6*F6</f>
        <v>11.3</v>
      </c>
      <c r="G23" s="575">
        <f>'ARP Score'!$BB6/'ARP Score'!$G6*G6</f>
        <v>11.3</v>
      </c>
      <c r="H23" s="575">
        <f>'ARP Score'!$BB6/'ARP Score'!$G6*H6</f>
        <v>11.3</v>
      </c>
      <c r="I23" s="575">
        <f>'ARP Score'!$BB6/'ARP Score'!$G6*I6</f>
        <v>11.3</v>
      </c>
      <c r="J23" s="575">
        <f>'ARP Score'!$BB7/'ARP Score'!$G7*J6</f>
        <v>8.4</v>
      </c>
      <c r="K23" s="575">
        <f>'ARP Score'!$BB7/'ARP Score'!$G7*K6</f>
        <v>8.4</v>
      </c>
      <c r="L23" s="575">
        <f>'ARP Score'!$BB7/'ARP Score'!$G7*L6</f>
        <v>8.4</v>
      </c>
      <c r="M23" s="575">
        <f>'ARP Score'!$BB7/'ARP Score'!$G7*M6</f>
        <v>8.4</v>
      </c>
      <c r="N23" s="575">
        <f>'ARP Score'!$BB8/'ARP Score'!$G8*N6</f>
        <v>0.2</v>
      </c>
      <c r="O23" s="575">
        <f>'ARP Score'!$BB8/'ARP Score'!$G8*O6</f>
        <v>0.2</v>
      </c>
      <c r="P23" s="575">
        <f>'ARP Score'!$BB8/'ARP Score'!$G8*P6</f>
        <v>0.2</v>
      </c>
      <c r="Q23" s="575">
        <f>'ARP Score'!$BB8/'ARP Score'!$G8*Q6</f>
        <v>0.2</v>
      </c>
      <c r="R23" s="575"/>
      <c r="S23" s="575"/>
      <c r="T23" s="575"/>
      <c r="U23" s="575"/>
      <c r="V23" s="575"/>
      <c r="W23" s="575"/>
    </row>
    <row r="24" spans="1:23" s="225" customFormat="1">
      <c r="B24" s="1089" t="s">
        <v>1197</v>
      </c>
      <c r="C24" s="575">
        <f>'ARP Score'!$BH5/'ARP Score'!$G5*C6</f>
        <v>0</v>
      </c>
      <c r="D24" s="575">
        <f>'ARP Score'!$BH5/'ARP Score'!$G5*D6</f>
        <v>-0.20447999999999997</v>
      </c>
      <c r="E24" s="575">
        <f>'ARP Score'!$BH5/'ARP Score'!$G5*E6</f>
        <v>-0.93152000000000001</v>
      </c>
      <c r="F24" s="575">
        <f>'ARP Score'!$BH6/'ARP Score'!$G6*F6</f>
        <v>81.608999999999995</v>
      </c>
      <c r="G24" s="575">
        <f>'ARP Score'!$BH6/'ARP Score'!$G6*G6</f>
        <v>81.608999999999995</v>
      </c>
      <c r="H24" s="575">
        <f>'ARP Score'!$BH6/'ARP Score'!$G6*H6</f>
        <v>81.608999999999995</v>
      </c>
      <c r="I24" s="575">
        <f>'ARP Score'!$BH6/'ARP Score'!$G6*I6</f>
        <v>81.608999999999995</v>
      </c>
      <c r="J24" s="575">
        <f>'ARP Score'!$BH7/'ARP Score'!$G7*J6</f>
        <v>1.3759999999999999</v>
      </c>
      <c r="K24" s="575">
        <f>'ARP Score'!$BH7/'ARP Score'!$G7*K6</f>
        <v>1.3759999999999999</v>
      </c>
      <c r="L24" s="575">
        <f>'ARP Score'!$BH7/'ARP Score'!$G7*L6</f>
        <v>1.3759999999999999</v>
      </c>
      <c r="M24" s="575">
        <f>'ARP Score'!$BH7/'ARP Score'!$G7*M6</f>
        <v>1.3759999999999999</v>
      </c>
      <c r="N24" s="575">
        <f>'ARP Score'!$BH8/'ARP Score'!$G8*N6</f>
        <v>-0.87500000000000011</v>
      </c>
      <c r="O24" s="575">
        <f>'ARP Score'!$BH8/'ARP Score'!$G8*O6</f>
        <v>-0.87500000000000011</v>
      </c>
      <c r="P24" s="575">
        <f>'ARP Score'!$BH8/'ARP Score'!$G8*P6</f>
        <v>-0.87500000000000011</v>
      </c>
      <c r="Q24" s="575">
        <f>'ARP Score'!$BH8/'ARP Score'!$G8*Q6</f>
        <v>-0.87500000000000011</v>
      </c>
      <c r="R24" s="575"/>
      <c r="S24" s="575"/>
      <c r="T24" s="575"/>
      <c r="U24" s="575"/>
      <c r="V24" s="575"/>
      <c r="W24" s="575"/>
    </row>
    <row r="25" spans="1:23" s="225" customFormat="1">
      <c r="B25" s="1089" t="s">
        <v>5</v>
      </c>
      <c r="C25" s="575">
        <f>SUM(C18:C24)</f>
        <v>0</v>
      </c>
      <c r="D25" s="575">
        <f t="shared" ref="D25:Q25" si="39">SUM(D18:D24)</f>
        <v>58.782959999999996</v>
      </c>
      <c r="E25" s="575">
        <f t="shared" si="39"/>
        <v>267.78904000000006</v>
      </c>
      <c r="F25" s="575">
        <f t="shared" si="39"/>
        <v>110.24799999999999</v>
      </c>
      <c r="G25" s="575">
        <f t="shared" si="39"/>
        <v>110.24799999999999</v>
      </c>
      <c r="H25" s="575">
        <f t="shared" si="39"/>
        <v>110.24799999999999</v>
      </c>
      <c r="I25" s="575">
        <f t="shared" si="39"/>
        <v>110.24799999999999</v>
      </c>
      <c r="J25" s="575">
        <f t="shared" si="39"/>
        <v>12.362</v>
      </c>
      <c r="K25" s="575">
        <f t="shared" si="39"/>
        <v>12.362</v>
      </c>
      <c r="L25" s="575">
        <f t="shared" si="39"/>
        <v>12.362</v>
      </c>
      <c r="M25" s="575">
        <f t="shared" si="39"/>
        <v>12.362</v>
      </c>
      <c r="N25" s="575">
        <f t="shared" si="39"/>
        <v>-0.67500000000000004</v>
      </c>
      <c r="O25" s="575">
        <f t="shared" si="39"/>
        <v>-0.67500000000000004</v>
      </c>
      <c r="P25" s="575">
        <f t="shared" si="39"/>
        <v>-0.67500000000000004</v>
      </c>
      <c r="Q25" s="575">
        <f t="shared" si="39"/>
        <v>-0.67500000000000004</v>
      </c>
      <c r="R25" s="575"/>
      <c r="S25" s="575"/>
      <c r="T25" s="575"/>
      <c r="U25" s="575"/>
      <c r="V25" s="575"/>
      <c r="W25" s="575"/>
    </row>
    <row r="26" spans="1:23">
      <c r="D26" s="337">
        <f>D6-D25</f>
        <v>0</v>
      </c>
      <c r="E26" s="337">
        <f t="shared" ref="E26:M26" si="40">E6-E25</f>
        <v>0</v>
      </c>
      <c r="F26" s="337">
        <f t="shared" si="40"/>
        <v>0</v>
      </c>
      <c r="G26" s="337">
        <f t="shared" si="40"/>
        <v>0</v>
      </c>
      <c r="H26" s="337">
        <f t="shared" si="40"/>
        <v>0</v>
      </c>
      <c r="I26" s="337">
        <f t="shared" si="40"/>
        <v>0</v>
      </c>
      <c r="J26" s="337">
        <f t="shared" si="40"/>
        <v>0.36400000000000077</v>
      </c>
      <c r="K26" s="337">
        <f t="shared" si="40"/>
        <v>0.36400000000000077</v>
      </c>
      <c r="L26" s="337">
        <f t="shared" si="40"/>
        <v>0.36400000000000077</v>
      </c>
      <c r="M26" s="337">
        <f t="shared" si="40"/>
        <v>0.36400000000000077</v>
      </c>
    </row>
    <row r="27" spans="1:23" s="225" customFormat="1">
      <c r="B27" s="225" t="s">
        <v>1188</v>
      </c>
      <c r="D27" s="380" t="s">
        <v>152</v>
      </c>
      <c r="E27" s="380" t="s">
        <v>153</v>
      </c>
      <c r="F27" s="380" t="s">
        <v>154</v>
      </c>
      <c r="G27" s="380" t="s">
        <v>155</v>
      </c>
      <c r="H27" s="380" t="s">
        <v>156</v>
      </c>
      <c r="I27" s="380" t="s">
        <v>157</v>
      </c>
      <c r="J27" s="380" t="s">
        <v>158</v>
      </c>
      <c r="K27" s="380" t="s">
        <v>159</v>
      </c>
      <c r="L27" s="380" t="s">
        <v>160</v>
      </c>
      <c r="M27" s="380" t="s">
        <v>161</v>
      </c>
      <c r="N27" s="380" t="s">
        <v>162</v>
      </c>
      <c r="O27" s="380" t="s">
        <v>163</v>
      </c>
      <c r="P27" s="380" t="s">
        <v>164</v>
      </c>
      <c r="Q27" s="380" t="s">
        <v>165</v>
      </c>
      <c r="R27" s="380" t="s">
        <v>166</v>
      </c>
      <c r="S27" s="380" t="s">
        <v>167</v>
      </c>
      <c r="T27" s="380" t="s">
        <v>168</v>
      </c>
      <c r="U27" s="380" t="s">
        <v>169</v>
      </c>
      <c r="V27" s="380" t="s">
        <v>170</v>
      </c>
    </row>
    <row r="28" spans="1:23" s="225" customFormat="1">
      <c r="B28" s="335"/>
      <c r="C28" s="337" t="s">
        <v>5</v>
      </c>
      <c r="D28" s="345">
        <f>SUM(D29:D43)</f>
        <v>5.8765000000000009</v>
      </c>
      <c r="E28" s="345">
        <f t="shared" ref="E28:V28" si="41">SUM(E29:E43)</f>
        <v>11.753000000000002</v>
      </c>
      <c r="F28" s="345">
        <f t="shared" si="41"/>
        <v>15.762320000000003</v>
      </c>
      <c r="G28" s="345">
        <f t="shared" si="41"/>
        <v>19.771640000000005</v>
      </c>
      <c r="H28" s="345">
        <f t="shared" si="41"/>
        <v>23.812229000000006</v>
      </c>
      <c r="I28" s="345">
        <f t="shared" si="41"/>
        <v>27.852818000000006</v>
      </c>
      <c r="J28" s="345">
        <f t="shared" si="41"/>
        <v>30.517977000000005</v>
      </c>
      <c r="K28" s="345">
        <f t="shared" si="41"/>
        <v>33.183136000000005</v>
      </c>
      <c r="L28" s="345">
        <f t="shared" si="41"/>
        <v>36.260924000000003</v>
      </c>
      <c r="M28" s="345">
        <f t="shared" si="41"/>
        <v>39.338711999999994</v>
      </c>
      <c r="N28" s="345">
        <f t="shared" si="41"/>
        <v>40.928439999999995</v>
      </c>
      <c r="O28" s="345">
        <f t="shared" si="41"/>
        <v>42.518167999999996</v>
      </c>
      <c r="P28" s="345">
        <f t="shared" si="41"/>
        <v>44.428388999999996</v>
      </c>
      <c r="Q28" s="345">
        <f t="shared" si="41"/>
        <v>46.338610000000003</v>
      </c>
      <c r="R28" s="345">
        <f t="shared" si="41"/>
        <v>47.279744500000007</v>
      </c>
      <c r="S28" s="345">
        <f t="shared" si="41"/>
        <v>46.283419000000009</v>
      </c>
      <c r="T28" s="345">
        <f t="shared" si="41"/>
        <v>45.578489500000011</v>
      </c>
      <c r="U28" s="345">
        <f t="shared" si="41"/>
        <v>45.454798000000011</v>
      </c>
      <c r="V28" s="345">
        <f t="shared" si="41"/>
        <v>45.360580000000013</v>
      </c>
    </row>
    <row r="29" spans="1:23" s="225" customFormat="1" ht="16">
      <c r="A29" s="225">
        <v>2021</v>
      </c>
      <c r="B29" s="335" t="s">
        <v>710</v>
      </c>
      <c r="C29" s="337"/>
      <c r="D29" s="225">
        <f>($D$9+$D$10)*'ARP Timing'!B$16</f>
        <v>5.8765000000000009</v>
      </c>
      <c r="E29" s="225">
        <f>($D$9+$D$10)*'ARP Timing'!C$16</f>
        <v>5.8765000000000009</v>
      </c>
      <c r="F29" s="225">
        <f>($D$9+$D$10)*'ARP Timing'!D$16</f>
        <v>4.11355</v>
      </c>
      <c r="G29" s="225">
        <f>($D$9+$D$10)*'ARP Timing'!E$16</f>
        <v>4.11355</v>
      </c>
      <c r="H29" s="225">
        <f>($D$9+$D$10)*'ARP Timing'!F$16</f>
        <v>4.11355</v>
      </c>
      <c r="I29" s="225">
        <f>($D$9+$D$10)*'ARP Timing'!G$16</f>
        <v>4.11355</v>
      </c>
      <c r="J29" s="225">
        <f>($D$9+$D$10)*'ARP Timing'!H$16</f>
        <v>4.11355</v>
      </c>
      <c r="K29" s="225">
        <f>($D$9+$D$10)*'ARP Timing'!I$16</f>
        <v>4.11355</v>
      </c>
      <c r="L29" s="225">
        <f>($D$9+$D$10)*'ARP Timing'!J$16</f>
        <v>4.11355</v>
      </c>
      <c r="M29" s="225">
        <f>($D$9+$D$10)*'ARP Timing'!K$16</f>
        <v>4.11355</v>
      </c>
      <c r="N29" s="225">
        <f>($D$9+$D$10)*'ARP Timing'!L$16</f>
        <v>4.11355</v>
      </c>
      <c r="O29" s="225">
        <f>($D$9+$D$10)*'ARP Timing'!M$16</f>
        <v>4.11355</v>
      </c>
      <c r="P29" s="225">
        <f>($D$9+$D$10)*'ARP Timing'!N$16</f>
        <v>3.987625</v>
      </c>
      <c r="Q29" s="225">
        <f>($D$9+$D$10)*'ARP Timing'!O$16</f>
        <v>3.987625</v>
      </c>
      <c r="R29" s="225">
        <f>($D$9+$D$10)*'ARP Timing'!P$16</f>
        <v>3.987625</v>
      </c>
      <c r="S29" s="225">
        <f>($D$9+$D$10)*'ARP Timing'!Q$16</f>
        <v>3.987625</v>
      </c>
      <c r="T29" s="225">
        <f>($D$9+$D$10)*'ARP Timing'!R$16</f>
        <v>3.987625</v>
      </c>
      <c r="U29" s="225">
        <f>($D$9+$D$10)*'ARP Timing'!S$16</f>
        <v>3.987625</v>
      </c>
      <c r="V29" s="225">
        <f>($D$9+$D$10)*'ARP Timing'!T$16</f>
        <v>3.987625</v>
      </c>
    </row>
    <row r="30" spans="1:23" s="225" customFormat="1" ht="16">
      <c r="B30" s="335" t="s">
        <v>708</v>
      </c>
      <c r="C30" s="337"/>
      <c r="E30" s="225">
        <f>($E$9+$E$10)*'ARP Timing'!B$16</f>
        <v>5.8765000000000009</v>
      </c>
      <c r="F30" s="225">
        <f>($E$9+$E$10)*'ARP Timing'!C$16</f>
        <v>5.8765000000000009</v>
      </c>
      <c r="G30" s="225">
        <f>($E$9+$E$10)*'ARP Timing'!D$16</f>
        <v>4.11355</v>
      </c>
      <c r="H30" s="225">
        <f>($E$9+$E$10)*'ARP Timing'!E$16</f>
        <v>4.11355</v>
      </c>
      <c r="I30" s="225">
        <f>($E$9+$E$10)*'ARP Timing'!F$16</f>
        <v>4.11355</v>
      </c>
      <c r="J30" s="225">
        <f>($E$9+$E$10)*'ARP Timing'!G$16</f>
        <v>4.11355</v>
      </c>
      <c r="K30" s="225">
        <f>($E$9+$E$10)*'ARP Timing'!H$16</f>
        <v>4.11355</v>
      </c>
      <c r="L30" s="225">
        <f>($E$9+$E$10)*'ARP Timing'!I$16</f>
        <v>4.11355</v>
      </c>
      <c r="M30" s="225">
        <f>($E$9+$E$10)*'ARP Timing'!J$16</f>
        <v>4.11355</v>
      </c>
      <c r="N30" s="225">
        <f>($E$9+$E$10)*'ARP Timing'!K$16</f>
        <v>4.11355</v>
      </c>
      <c r="O30" s="225">
        <f>($E$9+$E$10)*'ARP Timing'!L$16</f>
        <v>4.11355</v>
      </c>
      <c r="P30" s="225">
        <f>($E$9+$E$10)*'ARP Timing'!M$16</f>
        <v>4.11355</v>
      </c>
      <c r="Q30" s="225">
        <f>($E$9+$E$10)*'ARP Timing'!N$16</f>
        <v>3.987625</v>
      </c>
      <c r="R30" s="225">
        <f>($E$9+$E$10)*'ARP Timing'!O$16</f>
        <v>3.987625</v>
      </c>
      <c r="S30" s="225">
        <f>($E$9+$E$10)*'ARP Timing'!P$16</f>
        <v>3.987625</v>
      </c>
      <c r="T30" s="225">
        <f>($E$9+$E$10)*'ARP Timing'!Q$16</f>
        <v>3.987625</v>
      </c>
      <c r="U30" s="225">
        <f>($E$9+$E$10)*'ARP Timing'!R$16</f>
        <v>3.987625</v>
      </c>
      <c r="V30" s="225">
        <f>($E$9+$E$10)*'ARP Timing'!S$16</f>
        <v>3.987625</v>
      </c>
    </row>
    <row r="31" spans="1:23" s="225" customFormat="1" ht="16">
      <c r="B31" s="335" t="s">
        <v>709</v>
      </c>
      <c r="C31" s="337"/>
      <c r="F31" s="225">
        <f>($F$9+$F$10)*'ARP Timing'!B$16</f>
        <v>5.7722700000000016</v>
      </c>
      <c r="G31" s="225">
        <f>($F$9+$F$10)*'ARP Timing'!C$16</f>
        <v>5.7722700000000016</v>
      </c>
      <c r="H31" s="225">
        <f>($F$9+$F$10)*'ARP Timing'!D$16</f>
        <v>4.0405890000000007</v>
      </c>
      <c r="I31" s="225">
        <f>($F$9+$F$10)*'ARP Timing'!E$16</f>
        <v>4.0405890000000007</v>
      </c>
      <c r="J31" s="225">
        <f>($F$9+$F$10)*'ARP Timing'!F$16</f>
        <v>4.0405890000000007</v>
      </c>
      <c r="K31" s="225">
        <f>($F$9+$F$10)*'ARP Timing'!G$16</f>
        <v>4.0405890000000007</v>
      </c>
      <c r="L31" s="225">
        <f>($F$9+$F$10)*'ARP Timing'!H$16</f>
        <v>4.0405890000000007</v>
      </c>
      <c r="M31" s="225">
        <f>($F$9+$F$10)*'ARP Timing'!I$16</f>
        <v>4.0405890000000007</v>
      </c>
      <c r="N31" s="225">
        <f>($F$9+$F$10)*'ARP Timing'!J$16</f>
        <v>4.0405890000000007</v>
      </c>
      <c r="O31" s="225">
        <f>($F$9+$F$10)*'ARP Timing'!K$16</f>
        <v>4.0405890000000007</v>
      </c>
      <c r="P31" s="225">
        <f>($F$9+$F$10)*'ARP Timing'!L$16</f>
        <v>4.0405890000000007</v>
      </c>
      <c r="Q31" s="225">
        <f>($F$9+$F$10)*'ARP Timing'!M$16</f>
        <v>4.0405890000000007</v>
      </c>
      <c r="R31" s="225">
        <f>($F$9+$F$10)*'ARP Timing'!N$16</f>
        <v>3.9168975000000006</v>
      </c>
      <c r="S31" s="225">
        <f>($F$9+$F$10)*'ARP Timing'!O$16</f>
        <v>3.9168975000000006</v>
      </c>
      <c r="T31" s="225">
        <f>($F$9+$F$10)*'ARP Timing'!P$16</f>
        <v>3.9168975000000006</v>
      </c>
      <c r="U31" s="225">
        <f>($F$9+$F$10)*'ARP Timing'!Q$16</f>
        <v>3.9168975000000006</v>
      </c>
      <c r="V31" s="225">
        <f>($F$9+$F$10)*'ARP Timing'!R$16</f>
        <v>3.9168975000000006</v>
      </c>
    </row>
    <row r="32" spans="1:23" s="225" customFormat="1" ht="16">
      <c r="A32" s="225">
        <v>2022</v>
      </c>
      <c r="B32" s="335" t="s">
        <v>706</v>
      </c>
      <c r="C32" s="337"/>
      <c r="G32" s="225">
        <f>($G$9+$G$10)*'ARP Timing'!B$16</f>
        <v>5.7722700000000016</v>
      </c>
      <c r="H32" s="225">
        <f>($G$9+$G$10)*'ARP Timing'!C$16</f>
        <v>5.7722700000000016</v>
      </c>
      <c r="I32" s="225">
        <f>($G$9+$G$10)*'ARP Timing'!D$16</f>
        <v>4.0405890000000007</v>
      </c>
      <c r="J32" s="225">
        <f>($G$9+$G$10)*'ARP Timing'!E$16</f>
        <v>4.0405890000000007</v>
      </c>
      <c r="K32" s="225">
        <f>($G$9+$G$10)*'ARP Timing'!F$16</f>
        <v>4.0405890000000007</v>
      </c>
      <c r="L32" s="225">
        <f>($G$9+$G$10)*'ARP Timing'!G$16</f>
        <v>4.0405890000000007</v>
      </c>
      <c r="M32" s="225">
        <f>($G$9+$G$10)*'ARP Timing'!H$16</f>
        <v>4.0405890000000007</v>
      </c>
      <c r="N32" s="225">
        <f>($G$9+$G$10)*'ARP Timing'!I$16</f>
        <v>4.0405890000000007</v>
      </c>
      <c r="O32" s="225">
        <f>($G$9+$G$10)*'ARP Timing'!J$16</f>
        <v>4.0405890000000007</v>
      </c>
      <c r="P32" s="225">
        <f>($G$9+$G$10)*'ARP Timing'!K$16</f>
        <v>4.0405890000000007</v>
      </c>
      <c r="Q32" s="225">
        <f>($G$9+$G$10)*'ARP Timing'!L$16</f>
        <v>4.0405890000000007</v>
      </c>
      <c r="R32" s="225">
        <f>($G$9+$G$10)*'ARP Timing'!M$16</f>
        <v>4.0405890000000007</v>
      </c>
      <c r="S32" s="225">
        <f>($G$9+$G$10)*'ARP Timing'!N$16</f>
        <v>3.9168975000000006</v>
      </c>
      <c r="T32" s="225">
        <f>($G$9+$G$10)*'ARP Timing'!O$16</f>
        <v>3.9168975000000006</v>
      </c>
      <c r="U32" s="225">
        <f>($G$9+$G$10)*'ARP Timing'!P$16</f>
        <v>3.9168975000000006</v>
      </c>
      <c r="V32" s="225">
        <f>($G$9+$G$10)*'ARP Timing'!Q$16</f>
        <v>3.9168975000000006</v>
      </c>
    </row>
    <row r="33" spans="1:23" s="225" customFormat="1" ht="16">
      <c r="B33" s="335" t="s">
        <v>707</v>
      </c>
      <c r="C33" s="337"/>
      <c r="H33" s="225">
        <f>($H$9+$H$10)*'ARP Timing'!B$16</f>
        <v>5.7722700000000016</v>
      </c>
      <c r="I33" s="225">
        <f>($H$9+$H$10)*'ARP Timing'!C$16</f>
        <v>5.7722700000000016</v>
      </c>
      <c r="J33" s="225">
        <f>($H$9+$H$10)*'ARP Timing'!D$16</f>
        <v>4.0405890000000007</v>
      </c>
      <c r="K33" s="225">
        <f>($H$9+$H$10)*'ARP Timing'!E$16</f>
        <v>4.0405890000000007</v>
      </c>
      <c r="L33" s="225">
        <f>($H$9+$H$10)*'ARP Timing'!F$16</f>
        <v>4.0405890000000007</v>
      </c>
      <c r="M33" s="225">
        <f>($H$9+$H$10)*'ARP Timing'!G$16</f>
        <v>4.0405890000000007</v>
      </c>
      <c r="N33" s="225">
        <f>($H$9+$H$10)*'ARP Timing'!H$16</f>
        <v>4.0405890000000007</v>
      </c>
      <c r="O33" s="225">
        <f>($H$9+$H$10)*'ARP Timing'!I$16</f>
        <v>4.0405890000000007</v>
      </c>
      <c r="P33" s="225">
        <f>($H$9+$H$10)*'ARP Timing'!J$16</f>
        <v>4.0405890000000007</v>
      </c>
      <c r="Q33" s="225">
        <f>($H$9+$H$10)*'ARP Timing'!K$16</f>
        <v>4.0405890000000007</v>
      </c>
      <c r="R33" s="225">
        <f>($H$9+$H$10)*'ARP Timing'!L$16</f>
        <v>4.0405890000000007</v>
      </c>
      <c r="S33" s="225">
        <f>($H$9+$H$10)*'ARP Timing'!M$16</f>
        <v>4.0405890000000007</v>
      </c>
      <c r="T33" s="225">
        <f>($H$9+$H$10)*'ARP Timing'!N$16</f>
        <v>3.9168975000000006</v>
      </c>
      <c r="U33" s="225">
        <f>($H$9+$H$10)*'ARP Timing'!O$16</f>
        <v>3.9168975000000006</v>
      </c>
      <c r="V33" s="225">
        <f>($H$9+$H$10)*'ARP Timing'!P$16</f>
        <v>3.9168975000000006</v>
      </c>
    </row>
    <row r="34" spans="1:23" s="225" customFormat="1" ht="16">
      <c r="B34" s="335" t="s">
        <v>708</v>
      </c>
      <c r="C34" s="337"/>
      <c r="H34" s="337"/>
      <c r="I34" s="225">
        <f>($I$9+$I10)*'ARP Timing'!B$16</f>
        <v>5.7722700000000016</v>
      </c>
      <c r="J34" s="225">
        <f>($I$9+$I10)*'ARP Timing'!C$16</f>
        <v>5.7722700000000016</v>
      </c>
      <c r="K34" s="225">
        <f>($I$9+$I10)*'ARP Timing'!D$16</f>
        <v>4.0405890000000007</v>
      </c>
      <c r="L34" s="225">
        <f>($I$9+$I10)*'ARP Timing'!E$16</f>
        <v>4.0405890000000007</v>
      </c>
      <c r="M34" s="225">
        <f>($I$9+$I10)*'ARP Timing'!F$16</f>
        <v>4.0405890000000007</v>
      </c>
      <c r="N34" s="225">
        <f>($I$9+$I10)*'ARP Timing'!G$16</f>
        <v>4.0405890000000007</v>
      </c>
      <c r="O34" s="225">
        <f>($I$9+$I10)*'ARP Timing'!H$16</f>
        <v>4.0405890000000007</v>
      </c>
      <c r="P34" s="225">
        <f>($I$9+$I10)*'ARP Timing'!I$16</f>
        <v>4.0405890000000007</v>
      </c>
      <c r="Q34" s="225">
        <f>($I$9+$I10)*'ARP Timing'!J$16</f>
        <v>4.0405890000000007</v>
      </c>
      <c r="R34" s="225">
        <f>($I$9+$I10)*'ARP Timing'!K$16</f>
        <v>4.0405890000000007</v>
      </c>
      <c r="S34" s="225">
        <f>($I$9+$I10)*'ARP Timing'!L$16</f>
        <v>4.0405890000000007</v>
      </c>
      <c r="T34" s="225">
        <f>($I$9+$I10)*'ARP Timing'!M$16</f>
        <v>4.0405890000000007</v>
      </c>
      <c r="U34" s="225">
        <f>($I$9+$I10)*'ARP Timing'!N$16</f>
        <v>3.9168975000000006</v>
      </c>
      <c r="V34" s="225">
        <f>($I$9+$I10)*'ARP Timing'!O$16</f>
        <v>3.9168975000000006</v>
      </c>
    </row>
    <row r="35" spans="1:23" s="225" customFormat="1" ht="16">
      <c r="B35" s="335" t="s">
        <v>709</v>
      </c>
      <c r="C35" s="337"/>
      <c r="H35" s="337"/>
      <c r="J35" s="225">
        <f>($J$9+$J$10)*'ARP Timing'!B$16</f>
        <v>4.3968400000000001</v>
      </c>
      <c r="K35" s="225">
        <f>($J$9+$J$10)*'ARP Timing'!C$16</f>
        <v>4.3968400000000001</v>
      </c>
      <c r="L35" s="225">
        <f>($J$9+$J$10)*'ARP Timing'!D$16</f>
        <v>3.077788</v>
      </c>
      <c r="M35" s="225">
        <f>($J$9+$J$10)*'ARP Timing'!E$16</f>
        <v>3.077788</v>
      </c>
      <c r="N35" s="225">
        <f>($J$9+$J$10)*'ARP Timing'!F$16</f>
        <v>3.077788</v>
      </c>
      <c r="O35" s="225">
        <f>($J$9+$J$10)*'ARP Timing'!G$16</f>
        <v>3.077788</v>
      </c>
      <c r="P35" s="225">
        <f>($J$9+$J$10)*'ARP Timing'!H$16</f>
        <v>3.077788</v>
      </c>
      <c r="Q35" s="225">
        <f>($J$9+$J$10)*'ARP Timing'!I$16</f>
        <v>3.077788</v>
      </c>
      <c r="R35" s="225">
        <f>($J$9+$J$10)*'ARP Timing'!J$16</f>
        <v>3.077788</v>
      </c>
      <c r="S35" s="225">
        <f>($J$9+$J$10)*'ARP Timing'!K$16</f>
        <v>3.077788</v>
      </c>
      <c r="T35" s="225">
        <f>($J$9+$J$10)*'ARP Timing'!L$16</f>
        <v>3.077788</v>
      </c>
      <c r="U35" s="225">
        <f>($J$9+$J$10)*'ARP Timing'!M$16</f>
        <v>3.077788</v>
      </c>
      <c r="V35" s="225">
        <f>($J$9+$J$10)*'ARP Timing'!N$16</f>
        <v>2.9835699999999998</v>
      </c>
    </row>
    <row r="36" spans="1:23" s="225" customFormat="1" ht="16">
      <c r="A36" s="225">
        <v>2023</v>
      </c>
      <c r="B36" s="335" t="s">
        <v>706</v>
      </c>
      <c r="C36" s="337"/>
      <c r="H36" s="337"/>
      <c r="K36" s="225">
        <f>($K$9+$K$10)*'ARP Timing'!B$16</f>
        <v>4.3968400000000001</v>
      </c>
      <c r="L36" s="225">
        <f>($K$9+$K$10)*'ARP Timing'!C$16</f>
        <v>4.3968400000000001</v>
      </c>
      <c r="M36" s="225">
        <f>($K$9+$K$10)*'ARP Timing'!D$16</f>
        <v>3.077788</v>
      </c>
      <c r="N36" s="225">
        <f>($K$9+$K$10)*'ARP Timing'!E$16</f>
        <v>3.077788</v>
      </c>
      <c r="O36" s="225">
        <f>($K$9+$K$10)*'ARP Timing'!F$16</f>
        <v>3.077788</v>
      </c>
      <c r="P36" s="225">
        <f>($K$9+$K$10)*'ARP Timing'!G$16</f>
        <v>3.077788</v>
      </c>
      <c r="Q36" s="225">
        <f>($K$9+$K$10)*'ARP Timing'!H$16</f>
        <v>3.077788</v>
      </c>
      <c r="R36" s="225">
        <f>($K$9+$K$10)*'ARP Timing'!I$16</f>
        <v>3.077788</v>
      </c>
      <c r="S36" s="225">
        <f>($K$9+$K$10)*'ARP Timing'!J$16</f>
        <v>3.077788</v>
      </c>
      <c r="T36" s="225">
        <f>($K$9+$K$10)*'ARP Timing'!K$16</f>
        <v>3.077788</v>
      </c>
      <c r="U36" s="225">
        <f>($K$9+$K$10)*'ARP Timing'!L$16</f>
        <v>3.077788</v>
      </c>
      <c r="V36" s="225">
        <f>($K$9+$K$10)*'ARP Timing'!M$16</f>
        <v>3.077788</v>
      </c>
    </row>
    <row r="37" spans="1:23" s="225" customFormat="1" ht="16">
      <c r="B37" s="335" t="s">
        <v>707</v>
      </c>
      <c r="C37" s="337"/>
      <c r="H37" s="337"/>
      <c r="L37" s="225">
        <f>($L$9+$L$10)*'ARP Timing'!B$16</f>
        <v>4.3968400000000001</v>
      </c>
      <c r="M37" s="225">
        <f>($L$9+$L$10)*'ARP Timing'!C$16</f>
        <v>4.3968400000000001</v>
      </c>
      <c r="N37" s="225">
        <f>($L$9+$L$10)*'ARP Timing'!D$16</f>
        <v>3.077788</v>
      </c>
      <c r="O37" s="225">
        <f>($L$9+$L$10)*'ARP Timing'!E$16</f>
        <v>3.077788</v>
      </c>
      <c r="P37" s="225">
        <f>($L$9+$L$10)*'ARP Timing'!F$16</f>
        <v>3.077788</v>
      </c>
      <c r="Q37" s="225">
        <f>($L$9+$L$10)*'ARP Timing'!G$16</f>
        <v>3.077788</v>
      </c>
      <c r="R37" s="225">
        <f>($L$9+$L$10)*'ARP Timing'!H$16</f>
        <v>3.077788</v>
      </c>
      <c r="S37" s="225">
        <f>($L$9+$L$10)*'ARP Timing'!I$16</f>
        <v>3.077788</v>
      </c>
      <c r="T37" s="225">
        <f>($L$9+$L$10)*'ARP Timing'!J$16</f>
        <v>3.077788</v>
      </c>
      <c r="U37" s="225">
        <f>($L$9+$L$10)*'ARP Timing'!K$16</f>
        <v>3.077788</v>
      </c>
      <c r="V37" s="225">
        <f>($L$9+$L$10)*'ARP Timing'!L$16</f>
        <v>3.077788</v>
      </c>
    </row>
    <row r="38" spans="1:23" s="225" customFormat="1" ht="16">
      <c r="B38" s="335" t="s">
        <v>708</v>
      </c>
      <c r="C38" s="337"/>
      <c r="H38" s="337"/>
      <c r="M38" s="225">
        <f>($M$9+$M$10)*'ARP Timing'!B$16</f>
        <v>4.3968400000000001</v>
      </c>
      <c r="N38" s="225">
        <f>($M$9+$M$10)*'ARP Timing'!C$16</f>
        <v>4.3968400000000001</v>
      </c>
      <c r="O38" s="225">
        <f>($M$9+$M$10)*'ARP Timing'!D$16</f>
        <v>3.077788</v>
      </c>
      <c r="P38" s="225">
        <f>($M$9+$M$10)*'ARP Timing'!E$16</f>
        <v>3.077788</v>
      </c>
      <c r="Q38" s="225">
        <f>($M$9+$M$10)*'ARP Timing'!F$16</f>
        <v>3.077788</v>
      </c>
      <c r="R38" s="225">
        <f>($M$9+$M$10)*'ARP Timing'!G$16</f>
        <v>3.077788</v>
      </c>
      <c r="S38" s="225">
        <f>($M$9+$M$10)*'ARP Timing'!H$16</f>
        <v>3.077788</v>
      </c>
      <c r="T38" s="225">
        <f>($M$9+$M$10)*'ARP Timing'!I$16</f>
        <v>3.077788</v>
      </c>
      <c r="U38" s="225">
        <f>($M$9+$M$10)*'ARP Timing'!J$16</f>
        <v>3.077788</v>
      </c>
      <c r="V38" s="225">
        <f>($M$9+$M$10)*'ARP Timing'!K$16</f>
        <v>3.077788</v>
      </c>
    </row>
    <row r="39" spans="1:23" s="225" customFormat="1" ht="16">
      <c r="B39" s="335" t="s">
        <v>709</v>
      </c>
      <c r="C39" s="337"/>
      <c r="H39" s="337"/>
      <c r="N39" s="225">
        <f>($N$9+$N$10)*'ARP Timing'!B$16</f>
        <v>2.9087800000000006</v>
      </c>
      <c r="O39" s="225">
        <f>($N$9+$N$10)*'ARP Timing'!C$16</f>
        <v>2.9087800000000006</v>
      </c>
      <c r="P39" s="225">
        <f>($N$9+$N$10)*'ARP Timing'!D$16</f>
        <v>2.036146</v>
      </c>
      <c r="Q39" s="225">
        <f>($N$9+$N$10)*'ARP Timing'!E$16</f>
        <v>2.036146</v>
      </c>
      <c r="R39" s="225">
        <f>($N$9+$N$10)*'ARP Timing'!F$16</f>
        <v>2.036146</v>
      </c>
      <c r="S39" s="225">
        <f>($N$9+$N$10)*'ARP Timing'!G$16</f>
        <v>2.036146</v>
      </c>
      <c r="T39" s="225">
        <f>($N$9+$N$10)*'ARP Timing'!H$16</f>
        <v>2.036146</v>
      </c>
      <c r="U39" s="225">
        <f>($N$9+$N$10)*'ARP Timing'!I$16</f>
        <v>2.036146</v>
      </c>
      <c r="V39" s="225">
        <f>($N$9+$N$10)*'ARP Timing'!J$16</f>
        <v>2.036146</v>
      </c>
    </row>
    <row r="40" spans="1:23" s="225" customFormat="1" ht="16">
      <c r="A40" s="225">
        <v>2024</v>
      </c>
      <c r="B40" s="335" t="s">
        <v>706</v>
      </c>
      <c r="C40" s="337"/>
      <c r="H40" s="337"/>
      <c r="O40" s="225">
        <f>($O$9+$O$10)*'ARP Timing'!B$16</f>
        <v>2.9087800000000006</v>
      </c>
      <c r="P40" s="225">
        <f>($O$9+$O$10)*'ARP Timing'!C$16</f>
        <v>2.9087800000000006</v>
      </c>
      <c r="Q40" s="225">
        <f>($O$9+$O$10)*'ARP Timing'!D$16</f>
        <v>2.036146</v>
      </c>
      <c r="R40" s="225">
        <f>($O$9+$O$10)*'ARP Timing'!E$16</f>
        <v>2.036146</v>
      </c>
      <c r="S40" s="225">
        <f>($O$9+$O$10)*'ARP Timing'!F$16</f>
        <v>2.036146</v>
      </c>
      <c r="T40" s="225">
        <f>($O$9+$O$10)*'ARP Timing'!G$16</f>
        <v>2.036146</v>
      </c>
      <c r="U40" s="225">
        <f>($O$9+$O$10)*'ARP Timing'!H$16</f>
        <v>2.036146</v>
      </c>
      <c r="V40" s="225">
        <f>($O$9+$O$10)*'ARP Timing'!I$16</f>
        <v>2.036146</v>
      </c>
    </row>
    <row r="41" spans="1:23" s="225" customFormat="1" ht="16">
      <c r="B41" s="335" t="s">
        <v>707</v>
      </c>
      <c r="C41" s="337"/>
      <c r="H41" s="337"/>
      <c r="P41" s="225">
        <f>($P$9+$P$10)*'ARP Timing'!B$16</f>
        <v>2.9087800000000006</v>
      </c>
      <c r="Q41" s="225">
        <f>($P$9+$P$10)*'ARP Timing'!C$16</f>
        <v>2.9087800000000006</v>
      </c>
      <c r="R41" s="225">
        <f>($P$9+$P$10)*'ARP Timing'!D$16</f>
        <v>2.036146</v>
      </c>
      <c r="S41" s="225">
        <f>($P$9+$P$10)*'ARP Timing'!E$16</f>
        <v>2.036146</v>
      </c>
      <c r="T41" s="225">
        <f>($P$9+$P$10)*'ARP Timing'!F$16</f>
        <v>2.036146</v>
      </c>
      <c r="U41" s="225">
        <f>($P$9+$P$10)*'ARP Timing'!G$16</f>
        <v>2.036146</v>
      </c>
      <c r="V41" s="225">
        <f>($P$9+$P$10)*'ARP Timing'!H$16</f>
        <v>2.036146</v>
      </c>
    </row>
    <row r="42" spans="1:23" s="225" customFormat="1" ht="16">
      <c r="B42" s="335" t="s">
        <v>708</v>
      </c>
      <c r="C42" s="337"/>
      <c r="H42" s="337"/>
      <c r="Q42" s="225">
        <f>($Q$9+$Q$10)*'ARP Timing'!B$16</f>
        <v>2.9087800000000006</v>
      </c>
      <c r="R42" s="225">
        <f>($Q$9+$Q$10)*'ARP Timing'!C$16</f>
        <v>2.9087800000000006</v>
      </c>
      <c r="S42" s="225">
        <f>($Q$9+$Q$10)*'ARP Timing'!D$16</f>
        <v>2.036146</v>
      </c>
      <c r="T42" s="225">
        <f>($Q$9+$Q$10)*'ARP Timing'!E$16</f>
        <v>2.036146</v>
      </c>
      <c r="U42" s="225">
        <f>($Q$9+$Q$10)*'ARP Timing'!F$16</f>
        <v>2.036146</v>
      </c>
      <c r="V42" s="225">
        <f>($Q$9+$Q$10)*'ARP Timing'!G$16</f>
        <v>2.036146</v>
      </c>
    </row>
    <row r="43" spans="1:23" s="225" customFormat="1" ht="16">
      <c r="B43" s="335" t="s">
        <v>709</v>
      </c>
      <c r="C43" s="337"/>
      <c r="H43" s="337"/>
      <c r="R43" s="225">
        <f>($R$9+$R$10)*'ARP Timing'!B$16</f>
        <v>1.9374600000000002</v>
      </c>
      <c r="S43" s="225">
        <f>($R$9+$R$10)*'ARP Timing'!C$16</f>
        <v>1.9374600000000002</v>
      </c>
      <c r="T43" s="225">
        <f>($R$9+$R$10)*'ARP Timing'!D$16</f>
        <v>1.356222</v>
      </c>
      <c r="U43" s="225">
        <f>($R$9+$R$10)*'ARP Timing'!E$16</f>
        <v>1.356222</v>
      </c>
      <c r="V43" s="225">
        <f>($R$9+$R$10)*'ARP Timing'!F$16</f>
        <v>1.356222</v>
      </c>
    </row>
    <row r="44" spans="1:23" s="225" customFormat="1">
      <c r="S44" s="225">
        <f>($S$9+$S$10)*'ARP Timing'!B$16</f>
        <v>1.9374600000000002</v>
      </c>
      <c r="T44" s="225">
        <f>($S$9+$S$10)*'ARP Timing'!C$16</f>
        <v>1.9374600000000002</v>
      </c>
      <c r="U44" s="225">
        <f>($S$9+$S$10)*'ARP Timing'!D$16</f>
        <v>1.356222</v>
      </c>
      <c r="V44" s="225">
        <f>($S$9+$S$10)*'ARP Timing'!E$16</f>
        <v>1.356222</v>
      </c>
    </row>
    <row r="45" spans="1:23" s="225" customFormat="1"/>
    <row r="46" spans="1:23">
      <c r="B46" s="225" t="s">
        <v>712</v>
      </c>
      <c r="D46" s="380" t="s">
        <v>152</v>
      </c>
      <c r="E46" s="380" t="s">
        <v>153</v>
      </c>
      <c r="F46" s="380" t="s">
        <v>154</v>
      </c>
      <c r="G46" s="380" t="s">
        <v>155</v>
      </c>
      <c r="H46" s="380" t="s">
        <v>156</v>
      </c>
      <c r="I46" s="380" t="s">
        <v>157</v>
      </c>
      <c r="J46" s="380" t="s">
        <v>158</v>
      </c>
      <c r="K46" s="380" t="s">
        <v>159</v>
      </c>
      <c r="L46" s="380" t="s">
        <v>160</v>
      </c>
      <c r="M46" s="380" t="s">
        <v>161</v>
      </c>
      <c r="N46" s="380" t="s">
        <v>162</v>
      </c>
      <c r="O46" s="380" t="s">
        <v>163</v>
      </c>
      <c r="P46" s="380" t="s">
        <v>164</v>
      </c>
      <c r="Q46" s="380" t="s">
        <v>165</v>
      </c>
      <c r="R46" s="380" t="s">
        <v>166</v>
      </c>
      <c r="S46" s="380" t="s">
        <v>167</v>
      </c>
      <c r="T46" s="380" t="s">
        <v>168</v>
      </c>
      <c r="U46" s="380" t="s">
        <v>169</v>
      </c>
      <c r="V46" s="380" t="s">
        <v>170</v>
      </c>
      <c r="W46" s="225"/>
    </row>
    <row r="47" spans="1:23">
      <c r="B47" s="335"/>
      <c r="C47" s="337" t="s">
        <v>5</v>
      </c>
      <c r="D47" s="345">
        <f t="shared" ref="D47:U47" si="42">SUM(D48:D66)</f>
        <v>0</v>
      </c>
      <c r="E47" s="345">
        <f t="shared" si="42"/>
        <v>0</v>
      </c>
      <c r="F47" s="345">
        <f t="shared" si="42"/>
        <v>34.620851999999999</v>
      </c>
      <c r="G47" s="345">
        <f t="shared" si="42"/>
        <v>45.996274799999995</v>
      </c>
      <c r="H47" s="345">
        <f t="shared" si="42"/>
        <v>59.350031999999992</v>
      </c>
      <c r="I47" s="345">
        <f t="shared" si="42"/>
        <v>64.295867999999999</v>
      </c>
      <c r="J47" s="345">
        <f t="shared" si="42"/>
        <v>72.538927999999999</v>
      </c>
      <c r="K47" s="345">
        <f t="shared" si="42"/>
        <v>80.122543199999996</v>
      </c>
      <c r="L47" s="345">
        <f t="shared" si="42"/>
        <v>98.916719999999998</v>
      </c>
      <c r="M47" s="345">
        <f t="shared" si="42"/>
        <v>102.213944</v>
      </c>
      <c r="N47" s="345">
        <f t="shared" si="42"/>
        <v>102.213944</v>
      </c>
      <c r="O47" s="345">
        <f t="shared" si="42"/>
        <v>102.213944</v>
      </c>
      <c r="P47" s="345">
        <f t="shared" si="42"/>
        <v>98.916719999999998</v>
      </c>
      <c r="Q47" s="345">
        <f t="shared" si="42"/>
        <v>98.916719999999998</v>
      </c>
      <c r="R47" s="345">
        <f t="shared" si="42"/>
        <v>99.081581199999988</v>
      </c>
      <c r="S47" s="345">
        <f t="shared" si="42"/>
        <v>93.146578000000005</v>
      </c>
      <c r="T47" s="345">
        <f t="shared" si="42"/>
        <v>86.552129999999991</v>
      </c>
      <c r="U47" s="345">
        <f t="shared" si="42"/>
        <v>86.552129999999991</v>
      </c>
      <c r="V47" s="345">
        <f>SUM(V48:V66)</f>
        <v>82.265738799999994</v>
      </c>
      <c r="W47" s="50">
        <f>SUM(G47:V47)/4</f>
        <v>343.32344900000004</v>
      </c>
    </row>
    <row r="48" spans="1:23" s="225" customFormat="1" ht="16">
      <c r="A48" s="225">
        <v>2021</v>
      </c>
      <c r="B48" s="335" t="s">
        <v>710</v>
      </c>
      <c r="C48" s="337"/>
      <c r="D48" s="225">
        <f>($D$8)*'ARP Timing'!B17</f>
        <v>0</v>
      </c>
      <c r="E48" s="225">
        <f>($D$8)*'ARP Timing'!C17</f>
        <v>0</v>
      </c>
      <c r="F48" s="225">
        <f>($D$8)*'ARP Timing'!D17</f>
        <v>34.620851999999999</v>
      </c>
      <c r="G48" s="225">
        <f>($D$8)*'ARP Timing'!E17</f>
        <v>45.996274799999995</v>
      </c>
      <c r="H48" s="225">
        <f>($D$8)*'ARP Timing'!F17</f>
        <v>59.350031999999992</v>
      </c>
      <c r="I48" s="225">
        <f>($D$8)*'ARP Timing'!G17</f>
        <v>64.295867999999999</v>
      </c>
      <c r="J48" s="225">
        <f>($D$8)*'ARP Timing'!H17</f>
        <v>49.458359999999999</v>
      </c>
      <c r="K48" s="225">
        <f>($D$8)*'ARP Timing'!I17</f>
        <v>49.458359999999999</v>
      </c>
      <c r="L48" s="225">
        <f>($D$8)*'ARP Timing'!J17</f>
        <v>59.350031999999992</v>
      </c>
      <c r="M48" s="225">
        <f>($D$8)*'ARP Timing'!K17</f>
        <v>59.350031999999992</v>
      </c>
      <c r="N48" s="225">
        <f>($D$8)*'ARP Timing'!L17</f>
        <v>69.241703999999999</v>
      </c>
      <c r="O48" s="225">
        <f>($D$8)*'ARP Timing'!M17</f>
        <v>69.241703999999999</v>
      </c>
      <c r="P48" s="225">
        <f>($D$8)*'ARP Timing'!N17</f>
        <v>59.350031999999992</v>
      </c>
      <c r="Q48" s="225">
        <f>($D$8)*'ARP Timing'!O17</f>
        <v>59.350031999999992</v>
      </c>
      <c r="R48" s="225">
        <f>($D$8)*'ARP Timing'!P17</f>
        <v>52.920445199999989</v>
      </c>
      <c r="S48" s="225">
        <f>($D$8)*'ARP Timing'!Q17</f>
        <v>46.985441999999992</v>
      </c>
      <c r="T48" s="225">
        <f>($D$8)*'ARP Timing'!R17</f>
        <v>46.985441999999992</v>
      </c>
      <c r="U48" s="225">
        <f>($D$8)*'ARP Timing'!S17</f>
        <v>46.985441999999992</v>
      </c>
      <c r="V48" s="225">
        <f>($D$8)*'ARP Timing'!T17</f>
        <v>46.985441999999992</v>
      </c>
    </row>
    <row r="49" spans="1:22" s="225" customFormat="1" ht="16">
      <c r="B49" s="335" t="s">
        <v>708</v>
      </c>
      <c r="C49" s="337"/>
      <c r="E49" s="225">
        <f>($E$8)*'ARP Timing'!B$17</f>
        <v>0</v>
      </c>
      <c r="F49" s="225">
        <f>($E$8)*'ARP Timing'!C$16</f>
        <v>0</v>
      </c>
      <c r="G49" s="225">
        <f>($E$8)*'ARP Timing'!D$16</f>
        <v>0</v>
      </c>
      <c r="H49" s="225">
        <f>($E$8)*'ARP Timing'!E$16</f>
        <v>0</v>
      </c>
      <c r="I49" s="225">
        <f>($E$8)*'ARP Timing'!F$16</f>
        <v>0</v>
      </c>
      <c r="J49" s="225">
        <f>($E$8)*'ARP Timing'!G$16</f>
        <v>0</v>
      </c>
      <c r="K49" s="225">
        <f>($E$8)*'ARP Timing'!H$16</f>
        <v>0</v>
      </c>
      <c r="L49" s="225">
        <f>($E$8)*'ARP Timing'!I$16</f>
        <v>0</v>
      </c>
      <c r="M49" s="225">
        <f>($E$8)*'ARP Timing'!J$16</f>
        <v>0</v>
      </c>
      <c r="N49" s="225">
        <f>($E$8)*'ARP Timing'!K$16</f>
        <v>0</v>
      </c>
      <c r="O49" s="225">
        <f>($E$8)*'ARP Timing'!L$16</f>
        <v>0</v>
      </c>
      <c r="P49" s="225">
        <f>($E$8)*'ARP Timing'!M$16</f>
        <v>0</v>
      </c>
      <c r="Q49" s="225">
        <f>($E$8)*'ARP Timing'!N$16</f>
        <v>0</v>
      </c>
      <c r="R49" s="225">
        <f>($E$8)*'ARP Timing'!O$16</f>
        <v>0</v>
      </c>
      <c r="S49" s="225">
        <f>($E$8)*'ARP Timing'!P$16</f>
        <v>0</v>
      </c>
      <c r="T49" s="225">
        <f>($E$8)*'ARP Timing'!Q$16</f>
        <v>0</v>
      </c>
      <c r="U49" s="225">
        <f>($E$8)*'ARP Timing'!R$16</f>
        <v>0</v>
      </c>
      <c r="V49" s="225">
        <f>($E$8)*'ARP Timing'!S$16</f>
        <v>0</v>
      </c>
    </row>
    <row r="50" spans="1:22" s="225" customFormat="1" ht="16">
      <c r="B50" s="335" t="s">
        <v>709</v>
      </c>
      <c r="C50" s="337"/>
      <c r="F50" s="225">
        <f>($F$8)*'ARP Timing'!C$17</f>
        <v>0</v>
      </c>
      <c r="G50" s="225">
        <f>($F$8)*'ARP Timing'!D$17</f>
        <v>0</v>
      </c>
      <c r="H50" s="225">
        <f>($F$8)*'ARP Timing'!E$17</f>
        <v>0</v>
      </c>
      <c r="I50" s="225">
        <f>($F$8)*'ARP Timing'!F$17</f>
        <v>0</v>
      </c>
      <c r="J50" s="225">
        <f>($F$8)*'ARP Timing'!G$17</f>
        <v>0</v>
      </c>
      <c r="K50" s="225">
        <f>($F$8)*'ARP Timing'!H$17</f>
        <v>0</v>
      </c>
      <c r="L50" s="225">
        <f>($F$8)*'ARP Timing'!I$17</f>
        <v>0</v>
      </c>
      <c r="M50" s="225">
        <f>($F$8)*'ARP Timing'!J$17</f>
        <v>0</v>
      </c>
      <c r="N50" s="225">
        <f>($F$8)*'ARP Timing'!K$17</f>
        <v>0</v>
      </c>
      <c r="O50" s="225">
        <f>($F$8)*'ARP Timing'!L$17</f>
        <v>0</v>
      </c>
      <c r="P50" s="225">
        <f>($F$8)*'ARP Timing'!M$17</f>
        <v>0</v>
      </c>
      <c r="Q50" s="225">
        <f>($F$8)*'ARP Timing'!N$17</f>
        <v>0</v>
      </c>
      <c r="R50" s="225">
        <f>($F$8)*'ARP Timing'!O$17</f>
        <v>0</v>
      </c>
      <c r="S50" s="225">
        <f>($F$8)*'ARP Timing'!P$17</f>
        <v>0</v>
      </c>
      <c r="T50" s="225">
        <f>($F$8)*'ARP Timing'!Q$17</f>
        <v>0</v>
      </c>
      <c r="U50" s="225">
        <f>($F$8)*'ARP Timing'!R$17</f>
        <v>0</v>
      </c>
      <c r="V50" s="225">
        <f>($F$8)*'ARP Timing'!S$17</f>
        <v>0</v>
      </c>
    </row>
    <row r="51" spans="1:22" s="225" customFormat="1" ht="16">
      <c r="A51" s="225">
        <v>2022</v>
      </c>
      <c r="B51" s="335" t="s">
        <v>706</v>
      </c>
      <c r="C51" s="337"/>
      <c r="G51" s="225">
        <f>($G$8)*'ARP Timing'!D$17</f>
        <v>0</v>
      </c>
      <c r="H51" s="225">
        <f>($G$8)*'ARP Timing'!E$17</f>
        <v>0</v>
      </c>
      <c r="I51" s="225">
        <f>($G$8)*'ARP Timing'!F$17</f>
        <v>0</v>
      </c>
      <c r="J51" s="225">
        <f>($G$8)*'ARP Timing'!G$17</f>
        <v>0</v>
      </c>
      <c r="K51" s="225">
        <f>($G$8)*'ARP Timing'!H$17</f>
        <v>0</v>
      </c>
      <c r="L51" s="225">
        <f>($G$8)*'ARP Timing'!I$17</f>
        <v>0</v>
      </c>
      <c r="M51" s="225">
        <f>($G$8)*'ARP Timing'!J$17</f>
        <v>0</v>
      </c>
      <c r="N51" s="225">
        <f>($G$8)*'ARP Timing'!K$17</f>
        <v>0</v>
      </c>
      <c r="O51" s="225">
        <f>($G$8)*'ARP Timing'!L$17</f>
        <v>0</v>
      </c>
      <c r="P51" s="225">
        <f>($G$8)*'ARP Timing'!M$17</f>
        <v>0</v>
      </c>
      <c r="Q51" s="225">
        <f>($G$8)*'ARP Timing'!N$17</f>
        <v>0</v>
      </c>
      <c r="R51" s="225">
        <f>($G$8)*'ARP Timing'!O$17</f>
        <v>0</v>
      </c>
      <c r="S51" s="225">
        <f>($G$8)*'ARP Timing'!P$17</f>
        <v>0</v>
      </c>
      <c r="T51" s="225">
        <f>($G$8)*'ARP Timing'!Q$17</f>
        <v>0</v>
      </c>
      <c r="U51" s="225">
        <f>($G$8)*'ARP Timing'!R$17</f>
        <v>0</v>
      </c>
      <c r="V51" s="225">
        <f>($G$8)*'ARP Timing'!S$17</f>
        <v>0</v>
      </c>
    </row>
    <row r="52" spans="1:22" s="225" customFormat="1" ht="16">
      <c r="B52" s="335" t="s">
        <v>707</v>
      </c>
      <c r="C52" s="337"/>
      <c r="H52" s="225">
        <f>($H$8)*'ARP Timing'!B$17</f>
        <v>0</v>
      </c>
      <c r="I52" s="225">
        <f>($H$8)*'ARP Timing'!C$17</f>
        <v>0</v>
      </c>
      <c r="J52" s="225">
        <f>($H$8)*'ARP Timing'!D$17</f>
        <v>23.080568000000003</v>
      </c>
      <c r="K52" s="225">
        <f>($H$8)*'ARP Timing'!E$17</f>
        <v>30.6641832</v>
      </c>
      <c r="L52" s="225">
        <f>($H$8)*'ARP Timing'!F$17</f>
        <v>39.566687999999999</v>
      </c>
      <c r="M52" s="225">
        <f>($H$8)*'ARP Timing'!G$17</f>
        <v>42.863911999999999</v>
      </c>
      <c r="N52" s="225">
        <f>($H$8)*'ARP Timing'!H$17</f>
        <v>32.972239999999999</v>
      </c>
      <c r="O52" s="225">
        <f>($H$8)*'ARP Timing'!I$17</f>
        <v>32.972239999999999</v>
      </c>
      <c r="P52" s="225">
        <f>($H$8)*'ARP Timing'!J$17</f>
        <v>39.566687999999999</v>
      </c>
      <c r="Q52" s="225">
        <f>($H$8)*'ARP Timing'!K$17</f>
        <v>39.566687999999999</v>
      </c>
      <c r="R52" s="225">
        <f>($H$8)*'ARP Timing'!L$17</f>
        <v>46.161136000000006</v>
      </c>
      <c r="S52" s="225">
        <f>($H$8)*'ARP Timing'!M$17</f>
        <v>46.161136000000006</v>
      </c>
      <c r="T52" s="225">
        <f>($H$8)*'ARP Timing'!N$17</f>
        <v>39.566687999999999</v>
      </c>
      <c r="U52" s="225">
        <f>($H$8)*'ARP Timing'!O$17</f>
        <v>39.566687999999999</v>
      </c>
      <c r="V52" s="225">
        <f>($H$8)*'ARP Timing'!P$17</f>
        <v>35.280296800000002</v>
      </c>
    </row>
    <row r="53" spans="1:22" s="225" customFormat="1" ht="16">
      <c r="B53" s="335" t="s">
        <v>708</v>
      </c>
      <c r="C53" s="337"/>
      <c r="H53" s="337"/>
      <c r="I53" s="225">
        <f>($I$8)*'ARP Timing'!B$17</f>
        <v>0</v>
      </c>
      <c r="J53" s="225">
        <f>($I$8)*'ARP Timing'!C$17</f>
        <v>0</v>
      </c>
      <c r="K53" s="225">
        <f>($I$8)*'ARP Timing'!D$17</f>
        <v>0</v>
      </c>
      <c r="L53" s="225">
        <f>($I$8)*'ARP Timing'!E$17</f>
        <v>0</v>
      </c>
      <c r="M53" s="225">
        <f>($I$8)*'ARP Timing'!F$17</f>
        <v>0</v>
      </c>
      <c r="N53" s="225">
        <f>($I$8)*'ARP Timing'!G$17</f>
        <v>0</v>
      </c>
      <c r="O53" s="225">
        <f>($I$8)*'ARP Timing'!H$17</f>
        <v>0</v>
      </c>
      <c r="P53" s="225">
        <f>($I$8)*'ARP Timing'!I$17</f>
        <v>0</v>
      </c>
      <c r="Q53" s="225">
        <f>($I$8)*'ARP Timing'!J$17</f>
        <v>0</v>
      </c>
      <c r="R53" s="225">
        <f>($I$8)*'ARP Timing'!K$17</f>
        <v>0</v>
      </c>
      <c r="S53" s="225">
        <f>($I$8)*'ARP Timing'!L$17</f>
        <v>0</v>
      </c>
      <c r="T53" s="225">
        <f>($I$8)*'ARP Timing'!M$17</f>
        <v>0</v>
      </c>
      <c r="U53" s="225">
        <f>($I$8)*'ARP Timing'!N$17</f>
        <v>0</v>
      </c>
      <c r="V53" s="225">
        <f>($I$8)*'ARP Timing'!O$17</f>
        <v>0</v>
      </c>
    </row>
    <row r="54" spans="1:22" s="225" customFormat="1" ht="16">
      <c r="B54" s="335" t="s">
        <v>709</v>
      </c>
      <c r="C54" s="337"/>
      <c r="H54" s="337"/>
    </row>
    <row r="55" spans="1:22" s="225" customFormat="1" ht="16">
      <c r="A55" s="225">
        <v>2023</v>
      </c>
      <c r="B55" s="335" t="s">
        <v>706</v>
      </c>
      <c r="C55" s="337"/>
      <c r="H55" s="337"/>
    </row>
    <row r="56" spans="1:22" s="225" customFormat="1" ht="16">
      <c r="B56" s="335" t="s">
        <v>707</v>
      </c>
      <c r="C56" s="337"/>
      <c r="H56" s="337"/>
    </row>
    <row r="57" spans="1:22" s="225" customFormat="1" ht="16">
      <c r="B57" s="335" t="s">
        <v>708</v>
      </c>
      <c r="C57" s="337"/>
      <c r="H57" s="337"/>
    </row>
    <row r="58" spans="1:22" s="225" customFormat="1" ht="16">
      <c r="B58" s="335" t="s">
        <v>709</v>
      </c>
      <c r="C58" s="337"/>
      <c r="H58" s="337"/>
    </row>
    <row r="59" spans="1:22" s="225" customFormat="1" ht="16">
      <c r="A59" s="225">
        <v>2024</v>
      </c>
      <c r="B59" s="335" t="s">
        <v>706</v>
      </c>
      <c r="C59" s="337"/>
      <c r="H59" s="337"/>
    </row>
    <row r="60" spans="1:22" s="225" customFormat="1" ht="16">
      <c r="B60" s="335" t="s">
        <v>707</v>
      </c>
      <c r="C60" s="337"/>
      <c r="H60" s="337"/>
    </row>
    <row r="61" spans="1:22" s="225" customFormat="1" ht="16">
      <c r="B61" s="335" t="s">
        <v>708</v>
      </c>
      <c r="C61" s="337"/>
      <c r="H61" s="337"/>
    </row>
    <row r="62" spans="1:22" s="225" customFormat="1" ht="16">
      <c r="B62" s="335" t="s">
        <v>709</v>
      </c>
      <c r="C62" s="337"/>
      <c r="H62" s="337"/>
    </row>
    <row r="63" spans="1:22" s="225" customFormat="1">
      <c r="B63" s="335"/>
      <c r="C63" s="337"/>
      <c r="H63" s="337"/>
    </row>
    <row r="64" spans="1:22" s="225" customFormat="1">
      <c r="B64" s="335"/>
      <c r="C64" s="337"/>
      <c r="H64" s="337"/>
    </row>
    <row r="65" spans="2:25" s="225" customFormat="1">
      <c r="B65" s="335"/>
      <c r="C65" s="337"/>
      <c r="H65" s="337"/>
    </row>
    <row r="66" spans="2:25" s="225" customFormat="1">
      <c r="B66" s="335"/>
      <c r="C66" s="337"/>
      <c r="H66" s="337"/>
    </row>
    <row r="67" spans="2:25" s="225" customFormat="1">
      <c r="B67" s="335"/>
      <c r="C67" s="337"/>
      <c r="H67" s="337"/>
    </row>
    <row r="68" spans="2:25" s="225" customFormat="1">
      <c r="B68" s="335"/>
      <c r="C68" s="337"/>
      <c r="H68" s="337"/>
    </row>
    <row r="69" spans="2:25" s="225" customFormat="1">
      <c r="B69" s="335"/>
      <c r="C69" s="337"/>
      <c r="H69" s="337"/>
    </row>
    <row r="70" spans="2:25" s="225" customFormat="1">
      <c r="B70" s="335"/>
      <c r="C70" s="337"/>
      <c r="H70" s="337"/>
    </row>
    <row r="71" spans="2:25" s="225" customFormat="1">
      <c r="B71" s="335"/>
      <c r="C71" s="337"/>
      <c r="H71" s="337"/>
    </row>
    <row r="72" spans="2:25" s="225" customFormat="1">
      <c r="B72" s="335"/>
      <c r="C72" s="337"/>
      <c r="H72" s="337"/>
    </row>
    <row r="73" spans="2:25" ht="16">
      <c r="B73" s="335" t="s">
        <v>543</v>
      </c>
      <c r="C73" s="342">
        <v>2021</v>
      </c>
      <c r="D73" s="333">
        <v>2022</v>
      </c>
      <c r="E73" s="333">
        <v>2023</v>
      </c>
      <c r="F73" s="333">
        <v>2024</v>
      </c>
      <c r="G73" s="333">
        <v>2025</v>
      </c>
      <c r="H73" s="337"/>
    </row>
    <row r="74" spans="2:25" ht="16">
      <c r="B74" s="335" t="s">
        <v>513</v>
      </c>
      <c r="C74" s="346">
        <f t="shared" ref="C74:C85" si="43">SUM(C4:E4)/4</f>
        <v>26.636000000000024</v>
      </c>
      <c r="D74" s="346">
        <f t="shared" ref="D74:D85" si="44">SUM(F4:I4)/4</f>
        <v>98.978999999999999</v>
      </c>
      <c r="E74" s="346">
        <f t="shared" ref="E74:E85" si="45">SUM(J4:M4)/4</f>
        <v>2.1159999999999997</v>
      </c>
      <c r="F74" s="346">
        <f t="shared" ref="F74:F85" si="46">SUM(N4:Q4)/4</f>
        <v>2.1789999999999998</v>
      </c>
      <c r="G74" s="346">
        <f t="shared" ref="G74:G85" si="47">SUM(R4:U4)/4</f>
        <v>2.33</v>
      </c>
    </row>
    <row r="75" spans="2:25" s="225" customFormat="1" ht="16">
      <c r="B75" s="335" t="s">
        <v>515</v>
      </c>
      <c r="C75" s="346">
        <f t="shared" si="43"/>
        <v>47.722000000000023</v>
      </c>
      <c r="D75" s="346">
        <f t="shared" si="44"/>
        <v>52.756999999999998</v>
      </c>
      <c r="E75" s="346">
        <f t="shared" si="45"/>
        <v>12</v>
      </c>
      <c r="F75" s="346">
        <f t="shared" si="46"/>
        <v>4.2219999999999995</v>
      </c>
      <c r="G75" s="346">
        <f t="shared" si="47"/>
        <v>2.3719999999999999</v>
      </c>
      <c r="H75" s="337"/>
    </row>
    <row r="76" spans="2:25" s="225" customFormat="1" ht="16">
      <c r="B76" s="335" t="s">
        <v>132</v>
      </c>
      <c r="C76" s="346">
        <f t="shared" si="43"/>
        <v>81.643000000000001</v>
      </c>
      <c r="D76" s="346">
        <f t="shared" si="44"/>
        <v>110.24799999999999</v>
      </c>
      <c r="E76" s="346">
        <f t="shared" si="45"/>
        <v>12.726000000000001</v>
      </c>
      <c r="F76" s="346">
        <f t="shared" si="46"/>
        <v>1.365</v>
      </c>
      <c r="G76" s="346">
        <f t="shared" si="47"/>
        <v>-0.90100000000000025</v>
      </c>
      <c r="H76" s="337"/>
      <c r="O76" s="335"/>
      <c r="P76" s="335"/>
      <c r="Q76" s="335"/>
      <c r="R76" s="335"/>
      <c r="S76" s="347"/>
      <c r="T76" s="347"/>
      <c r="U76" s="347"/>
      <c r="V76" s="336"/>
      <c r="W76" s="335"/>
      <c r="X76" s="335"/>
      <c r="Y76" s="348"/>
    </row>
    <row r="77" spans="2:25" s="225" customFormat="1" ht="16">
      <c r="B77" s="335" t="s">
        <v>514</v>
      </c>
      <c r="C77" s="346">
        <f t="shared" si="43"/>
        <v>7.798</v>
      </c>
      <c r="D77" s="346">
        <f t="shared" si="44"/>
        <v>7.9489999999999998</v>
      </c>
      <c r="E77" s="346">
        <f t="shared" si="45"/>
        <v>4.7519999999999998</v>
      </c>
      <c r="F77" s="346">
        <f t="shared" si="46"/>
        <v>4.637999999999999</v>
      </c>
      <c r="G77" s="346">
        <f t="shared" si="47"/>
        <v>1.8800000000000001</v>
      </c>
      <c r="H77" s="337"/>
      <c r="O77" s="348"/>
      <c r="P77" s="348"/>
      <c r="Q77" s="348"/>
      <c r="R77" s="348"/>
      <c r="S77" s="348"/>
      <c r="T77" s="348"/>
      <c r="U77" s="348"/>
      <c r="V77" s="348"/>
      <c r="W77" s="348"/>
      <c r="X77" s="348"/>
      <c r="Y77" s="348"/>
    </row>
    <row r="78" spans="2:25">
      <c r="B78" s="339" t="s">
        <v>367</v>
      </c>
      <c r="C78" s="346">
        <f t="shared" si="43"/>
        <v>247.29179999999997</v>
      </c>
      <c r="D78" s="346">
        <f t="shared" si="44"/>
        <v>164.8612</v>
      </c>
      <c r="E78" s="346">
        <f t="shared" si="45"/>
        <v>0</v>
      </c>
      <c r="F78" s="346">
        <f t="shared" si="46"/>
        <v>0</v>
      </c>
      <c r="G78" s="346">
        <f t="shared" si="47"/>
        <v>0</v>
      </c>
      <c r="H78" s="337"/>
      <c r="O78" s="348"/>
      <c r="P78" s="348"/>
      <c r="Q78" s="348"/>
      <c r="R78" s="349"/>
      <c r="S78" s="349"/>
      <c r="T78" s="348"/>
      <c r="U78" s="348"/>
      <c r="V78" s="348"/>
      <c r="W78" s="348"/>
      <c r="X78" s="348"/>
      <c r="Y78" s="348"/>
    </row>
    <row r="79" spans="2:25">
      <c r="B79" s="339" t="s">
        <v>290</v>
      </c>
      <c r="C79" s="346">
        <f t="shared" si="43"/>
        <v>12.347</v>
      </c>
      <c r="D79" s="346">
        <f t="shared" si="44"/>
        <v>46.79</v>
      </c>
      <c r="E79" s="346">
        <f t="shared" si="45"/>
        <v>38.595999999999997</v>
      </c>
      <c r="F79" s="346">
        <f t="shared" si="46"/>
        <v>31.911000000000001</v>
      </c>
      <c r="G79" s="346">
        <f t="shared" si="47"/>
        <v>23.099</v>
      </c>
      <c r="H79" s="337"/>
      <c r="R79" s="3"/>
      <c r="S79" s="3"/>
    </row>
    <row r="80" spans="2:25">
      <c r="B80" s="339" t="s">
        <v>394</v>
      </c>
      <c r="C80" s="346">
        <f t="shared" si="43"/>
        <v>29.628</v>
      </c>
      <c r="D80" s="346">
        <f t="shared" si="44"/>
        <v>35.671000000000006</v>
      </c>
      <c r="E80" s="346">
        <f t="shared" si="45"/>
        <v>24.216000000000001</v>
      </c>
      <c r="F80" s="346">
        <f t="shared" si="46"/>
        <v>9.6430000000000007</v>
      </c>
      <c r="G80" s="346">
        <f t="shared" si="47"/>
        <v>4.5789999999999997</v>
      </c>
      <c r="H80" s="337"/>
      <c r="R80" s="3"/>
      <c r="S80" s="3"/>
    </row>
    <row r="81" spans="2:19" ht="16">
      <c r="B81" s="336" t="s">
        <v>532</v>
      </c>
      <c r="C81" s="346">
        <f t="shared" si="43"/>
        <v>25.75</v>
      </c>
      <c r="D81" s="346">
        <f t="shared" si="44"/>
        <v>0</v>
      </c>
      <c r="E81" s="346">
        <f t="shared" si="45"/>
        <v>0</v>
      </c>
      <c r="F81" s="346">
        <f t="shared" si="46"/>
        <v>0</v>
      </c>
      <c r="G81" s="346">
        <f t="shared" si="47"/>
        <v>0</v>
      </c>
      <c r="H81" s="337"/>
      <c r="R81" s="3"/>
      <c r="S81" s="3"/>
    </row>
    <row r="82" spans="2:19" ht="16">
      <c r="B82" s="335" t="s">
        <v>382</v>
      </c>
      <c r="C82" s="346">
        <f t="shared" si="43"/>
        <v>31.939</v>
      </c>
      <c r="D82" s="346">
        <f t="shared" si="44"/>
        <v>56.413000000000004</v>
      </c>
      <c r="E82" s="346">
        <f t="shared" si="45"/>
        <v>15.652999999999999</v>
      </c>
      <c r="F82" s="346">
        <f t="shared" si="46"/>
        <v>3.9320000000000004</v>
      </c>
      <c r="G82" s="346">
        <f t="shared" si="47"/>
        <v>-0.74299999999999988</v>
      </c>
      <c r="R82" s="3"/>
      <c r="S82" s="3"/>
    </row>
    <row r="83" spans="2:19">
      <c r="B83" s="225" t="s">
        <v>551</v>
      </c>
      <c r="C83" s="346">
        <f t="shared" si="43"/>
        <v>1.02</v>
      </c>
      <c r="D83" s="346">
        <f t="shared" si="44"/>
        <v>1.5299999999999998</v>
      </c>
      <c r="E83" s="346">
        <f t="shared" si="45"/>
        <v>0</v>
      </c>
      <c r="F83" s="346">
        <f t="shared" si="46"/>
        <v>0</v>
      </c>
      <c r="G83" s="346">
        <f t="shared" si="47"/>
        <v>0</v>
      </c>
      <c r="R83" s="3"/>
      <c r="S83" s="3"/>
    </row>
    <row r="84" spans="2:19" s="225" customFormat="1">
      <c r="B84" s="225" t="s">
        <v>552</v>
      </c>
      <c r="C84" s="346">
        <f t="shared" si="43"/>
        <v>0.68</v>
      </c>
      <c r="D84" s="346">
        <f t="shared" si="44"/>
        <v>1.02</v>
      </c>
      <c r="E84" s="346">
        <f t="shared" si="45"/>
        <v>0</v>
      </c>
      <c r="F84" s="346">
        <f t="shared" si="46"/>
        <v>0</v>
      </c>
      <c r="G84" s="346">
        <f t="shared" si="47"/>
        <v>0</v>
      </c>
      <c r="R84" s="3"/>
      <c r="S84" s="3"/>
    </row>
    <row r="85" spans="2:19" s="225" customFormat="1">
      <c r="B85" s="225" t="s">
        <v>487</v>
      </c>
      <c r="C85" s="346">
        <f t="shared" si="43"/>
        <v>1.7</v>
      </c>
      <c r="D85" s="346">
        <f t="shared" si="44"/>
        <v>2.5499999999999998</v>
      </c>
      <c r="E85" s="346">
        <f t="shared" si="45"/>
        <v>0</v>
      </c>
      <c r="F85" s="346">
        <f t="shared" si="46"/>
        <v>0</v>
      </c>
      <c r="G85" s="346">
        <f t="shared" si="47"/>
        <v>0</v>
      </c>
      <c r="R85" s="3"/>
      <c r="S85" s="3"/>
    </row>
    <row r="86" spans="2:19">
      <c r="B86" s="225"/>
      <c r="C86" s="333">
        <v>2021</v>
      </c>
      <c r="D86" s="333">
        <v>2022</v>
      </c>
      <c r="E86" s="333">
        <v>2023</v>
      </c>
      <c r="F86" s="333">
        <v>2024</v>
      </c>
      <c r="G86" s="333">
        <v>2025</v>
      </c>
      <c r="H86" s="225"/>
      <c r="I86" s="225"/>
      <c r="J86" s="225"/>
      <c r="K86" s="225"/>
      <c r="L86" s="225"/>
      <c r="M86" s="225"/>
      <c r="N86" s="225"/>
      <c r="R86" s="3"/>
      <c r="S86" s="3"/>
    </row>
    <row r="87" spans="2:19">
      <c r="B87" s="225" t="s">
        <v>553</v>
      </c>
      <c r="C87" s="345">
        <f>SUM(C83:C85)</f>
        <v>3.4000000000000004</v>
      </c>
      <c r="D87" s="345">
        <f t="shared" ref="D87:G87" si="48">SUM(D83:D85)</f>
        <v>5.0999999999999996</v>
      </c>
      <c r="E87" s="345">
        <f t="shared" si="48"/>
        <v>0</v>
      </c>
      <c r="F87" s="345">
        <f t="shared" si="48"/>
        <v>0</v>
      </c>
      <c r="G87" s="345">
        <f t="shared" si="48"/>
        <v>0</v>
      </c>
      <c r="H87" s="225"/>
      <c r="I87" s="225"/>
      <c r="J87" s="225"/>
      <c r="K87" s="225"/>
      <c r="L87" s="225"/>
      <c r="M87" s="225"/>
      <c r="N87" s="225"/>
      <c r="R87" s="3"/>
      <c r="S87" s="3"/>
    </row>
    <row r="88" spans="2:19">
      <c r="B88" s="225"/>
      <c r="C88" s="225"/>
      <c r="D88" s="225"/>
      <c r="E88" s="225"/>
      <c r="F88" s="225"/>
      <c r="G88" s="225"/>
      <c r="H88" s="225"/>
      <c r="I88" s="225"/>
      <c r="J88" s="225"/>
      <c r="K88" s="225"/>
      <c r="L88" s="225"/>
      <c r="M88" s="225"/>
      <c r="N88" s="225"/>
    </row>
    <row r="89" spans="2:19">
      <c r="B89" s="225"/>
      <c r="C89" s="225"/>
      <c r="D89" s="225"/>
      <c r="E89" s="225"/>
      <c r="F89" s="225"/>
      <c r="G89" s="225"/>
      <c r="H89" s="225"/>
      <c r="I89" s="225"/>
      <c r="J89" s="225"/>
      <c r="K89" s="225"/>
      <c r="L89" s="225"/>
      <c r="M89" s="225"/>
      <c r="N89" s="225"/>
    </row>
    <row r="90" spans="2:19">
      <c r="B90" s="225" t="s">
        <v>513</v>
      </c>
      <c r="C90" s="346">
        <v>26.636000000000024</v>
      </c>
      <c r="D90" s="346">
        <v>98.978999999999999</v>
      </c>
      <c r="E90" s="346">
        <v>2.1159999999999997</v>
      </c>
      <c r="F90" s="346">
        <v>2.1789999999999998</v>
      </c>
      <c r="G90" s="346">
        <v>2.33</v>
      </c>
      <c r="H90" s="346"/>
      <c r="I90" s="346"/>
      <c r="J90" s="346"/>
      <c r="K90" s="346"/>
      <c r="L90" s="346"/>
      <c r="M90" s="346"/>
      <c r="N90" s="225"/>
    </row>
    <row r="91" spans="2:19">
      <c r="B91" s="225" t="s">
        <v>515</v>
      </c>
      <c r="C91" s="346">
        <v>47.722000000000016</v>
      </c>
      <c r="D91" s="346">
        <v>52.756999999999998</v>
      </c>
      <c r="E91" s="346">
        <v>12</v>
      </c>
      <c r="F91" s="346">
        <v>4.2219999999999995</v>
      </c>
      <c r="G91" s="346">
        <v>2.3719999999999999</v>
      </c>
      <c r="H91" s="346"/>
      <c r="I91" s="346"/>
      <c r="J91" s="346"/>
      <c r="K91" s="346"/>
      <c r="L91" s="346"/>
      <c r="M91" s="346"/>
      <c r="N91" s="225"/>
    </row>
    <row r="92" spans="2:19">
      <c r="B92" s="225" t="s">
        <v>132</v>
      </c>
      <c r="C92" s="346">
        <v>81.842999999999989</v>
      </c>
      <c r="D92" s="346">
        <v>110.24799999999999</v>
      </c>
      <c r="E92" s="346">
        <v>12.726000000000001</v>
      </c>
      <c r="F92" s="346">
        <v>1.365</v>
      </c>
      <c r="G92" s="346">
        <v>-0.90100000000000025</v>
      </c>
      <c r="H92" s="346"/>
      <c r="I92" s="346"/>
      <c r="J92" s="346"/>
      <c r="K92" s="346"/>
      <c r="L92" s="346"/>
      <c r="M92" s="346"/>
      <c r="N92" s="225"/>
    </row>
    <row r="93" spans="2:19">
      <c r="B93" s="225" t="s">
        <v>514</v>
      </c>
      <c r="C93" s="346">
        <v>7.798</v>
      </c>
      <c r="D93" s="346">
        <v>7.9489999999999998</v>
      </c>
      <c r="E93" s="346">
        <v>4.7519999999999998</v>
      </c>
      <c r="F93" s="346">
        <v>4.637999999999999</v>
      </c>
      <c r="G93" s="346">
        <v>1.8800000000000001</v>
      </c>
      <c r="H93" s="346"/>
      <c r="I93" s="346"/>
      <c r="J93" s="346"/>
      <c r="K93" s="346"/>
      <c r="L93" s="346"/>
      <c r="M93" s="346"/>
      <c r="N93" s="225"/>
    </row>
    <row r="94" spans="2:19">
      <c r="B94" s="50" t="s">
        <v>367</v>
      </c>
      <c r="C94" s="346">
        <v>283.95749999999998</v>
      </c>
      <c r="D94" s="346">
        <v>77.092500000000001</v>
      </c>
      <c r="E94" s="346">
        <v>1</v>
      </c>
      <c r="F94" s="346">
        <v>0</v>
      </c>
      <c r="G94" s="346">
        <v>0</v>
      </c>
      <c r="H94" s="346"/>
      <c r="I94" s="346"/>
      <c r="J94" s="346"/>
      <c r="K94" s="346"/>
      <c r="L94" s="346"/>
      <c r="M94" s="346"/>
      <c r="N94" s="225"/>
    </row>
    <row r="95" spans="2:19">
      <c r="B95" s="50" t="s">
        <v>290</v>
      </c>
      <c r="C95" s="346">
        <v>12.347</v>
      </c>
      <c r="D95" s="346">
        <v>46.79</v>
      </c>
      <c r="E95" s="346">
        <v>38.595999999999997</v>
      </c>
      <c r="F95" s="346">
        <v>31.911000000000001</v>
      </c>
      <c r="G95" s="346">
        <v>23.099</v>
      </c>
      <c r="H95" s="346"/>
      <c r="I95" s="346"/>
      <c r="J95" s="346"/>
      <c r="K95" s="346"/>
      <c r="L95" s="346"/>
      <c r="M95" s="346"/>
      <c r="N95" s="225"/>
    </row>
    <row r="96" spans="2:19">
      <c r="B96" s="50" t="s">
        <v>394</v>
      </c>
      <c r="C96" s="346">
        <v>2.286</v>
      </c>
      <c r="D96" s="346">
        <v>4.6049999999999995</v>
      </c>
      <c r="E96" s="346">
        <v>1.349</v>
      </c>
      <c r="F96" s="346">
        <v>0.441</v>
      </c>
      <c r="G96" s="346">
        <v>0.313</v>
      </c>
      <c r="H96" s="346"/>
      <c r="I96" s="346"/>
      <c r="J96" s="346"/>
      <c r="K96" s="346"/>
      <c r="L96" s="346"/>
      <c r="M96" s="346"/>
      <c r="N96" s="225"/>
    </row>
    <row r="97" spans="2:14">
      <c r="B97" s="50" t="s">
        <v>532</v>
      </c>
      <c r="C97" s="346">
        <v>25.75</v>
      </c>
      <c r="D97" s="346">
        <v>0</v>
      </c>
      <c r="E97" s="346">
        <v>0</v>
      </c>
      <c r="F97" s="346">
        <v>0</v>
      </c>
      <c r="G97" s="346">
        <v>0</v>
      </c>
      <c r="H97" s="346"/>
      <c r="I97" s="346"/>
      <c r="J97" s="346"/>
      <c r="K97" s="346"/>
      <c r="L97" s="346"/>
      <c r="M97" s="346"/>
      <c r="N97" s="225"/>
    </row>
    <row r="98" spans="2:14">
      <c r="B98" s="50" t="s">
        <v>382</v>
      </c>
      <c r="C98" s="346">
        <v>60.441000000000003</v>
      </c>
      <c r="D98" s="346">
        <v>91.678999999999988</v>
      </c>
      <c r="E98" s="346">
        <v>41.220000000000006</v>
      </c>
      <c r="F98" s="346">
        <v>14.004000000000003</v>
      </c>
      <c r="G98" s="346">
        <v>3.8530000000000006</v>
      </c>
      <c r="H98" s="346"/>
      <c r="I98" s="346"/>
      <c r="J98" s="346"/>
      <c r="K98" s="346"/>
      <c r="L98" s="346"/>
      <c r="M98" s="346"/>
      <c r="N98" s="225"/>
    </row>
    <row r="99" spans="2:14">
      <c r="C99" s="333">
        <v>3.4</v>
      </c>
      <c r="D99" s="333">
        <v>5.0999999999999996</v>
      </c>
      <c r="E99" s="333">
        <v>0</v>
      </c>
      <c r="F99" s="333">
        <v>0</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932B9-CE45-4F06-A6C6-177E33CDD17B}">
  <dimension ref="A1:W13"/>
  <sheetViews>
    <sheetView workbookViewId="0">
      <selection activeCell="E28" sqref="E28"/>
    </sheetView>
  </sheetViews>
  <sheetFormatPr baseColWidth="10" defaultColWidth="10.83203125" defaultRowHeight="15"/>
  <cols>
    <col min="1" max="1" width="30" style="225" bestFit="1" customWidth="1"/>
    <col min="2" max="16384" width="10.83203125" style="225"/>
  </cols>
  <sheetData>
    <row r="1" spans="1:23">
      <c r="B1" s="225" t="s">
        <v>146</v>
      </c>
      <c r="C1" s="225" t="s">
        <v>147</v>
      </c>
      <c r="D1" s="225" t="s">
        <v>148</v>
      </c>
      <c r="E1" s="225" t="s">
        <v>149</v>
      </c>
      <c r="F1" s="225" t="s">
        <v>150</v>
      </c>
      <c r="G1" s="225" t="s">
        <v>151</v>
      </c>
      <c r="H1" s="225" t="s">
        <v>152</v>
      </c>
      <c r="I1" s="225" t="s">
        <v>153</v>
      </c>
      <c r="J1" s="225" t="s">
        <v>154</v>
      </c>
      <c r="K1" s="225" t="s">
        <v>155</v>
      </c>
      <c r="L1" s="225" t="s">
        <v>156</v>
      </c>
      <c r="M1" s="225" t="s">
        <v>157</v>
      </c>
      <c r="N1" s="225" t="s">
        <v>158</v>
      </c>
      <c r="O1" s="225" t="s">
        <v>159</v>
      </c>
      <c r="P1" s="225" t="s">
        <v>160</v>
      </c>
      <c r="Q1" s="225" t="s">
        <v>161</v>
      </c>
      <c r="R1" s="225" t="s">
        <v>162</v>
      </c>
      <c r="S1" s="225" t="s">
        <v>163</v>
      </c>
      <c r="T1" s="225" t="s">
        <v>164</v>
      </c>
      <c r="U1" s="225" t="s">
        <v>165</v>
      </c>
      <c r="V1" s="225" t="s">
        <v>166</v>
      </c>
      <c r="W1" s="225" t="s">
        <v>167</v>
      </c>
    </row>
    <row r="2" spans="1:23">
      <c r="A2" s="225" t="s">
        <v>458</v>
      </c>
      <c r="B2" s="255">
        <v>112.989</v>
      </c>
      <c r="C2" s="255">
        <v>113.38</v>
      </c>
      <c r="D2" s="255">
        <v>112.86</v>
      </c>
      <c r="E2" s="255">
        <v>113.83799999999999</v>
      </c>
      <c r="F2" s="255">
        <v>114.41500000000001</v>
      </c>
      <c r="G2" s="255">
        <v>115.613</v>
      </c>
      <c r="H2" s="255">
        <v>116.079929684229</v>
      </c>
      <c r="I2" s="255">
        <v>116.665860886253</v>
      </c>
      <c r="J2" s="255">
        <v>117.173130068039</v>
      </c>
      <c r="K2" s="255">
        <v>117.776205556525</v>
      </c>
      <c r="L2" s="255">
        <v>118.328856673063</v>
      </c>
      <c r="M2" s="255">
        <v>118.891592663992</v>
      </c>
      <c r="N2" s="255">
        <v>119.478532353454</v>
      </c>
      <c r="O2" s="255">
        <v>120.061438093161</v>
      </c>
      <c r="P2" s="255">
        <v>120.658462657013</v>
      </c>
      <c r="Q2" s="255">
        <v>121.265572095255</v>
      </c>
      <c r="R2" s="255">
        <v>121.88982581995801</v>
      </c>
      <c r="S2" s="255">
        <v>122.528198368807</v>
      </c>
      <c r="T2" s="255">
        <v>123.170604867411</v>
      </c>
      <c r="U2" s="255">
        <v>123.820070778088</v>
      </c>
      <c r="V2" s="255">
        <v>124.47558761339801</v>
      </c>
      <c r="W2" s="255">
        <v>125.131104448709</v>
      </c>
    </row>
    <row r="3" spans="1:23">
      <c r="A3" s="225" t="s">
        <v>457</v>
      </c>
      <c r="B3" s="258">
        <v>3.4368838919380802E-3</v>
      </c>
      <c r="C3" s="258">
        <v>3.4605138553309698E-3</v>
      </c>
      <c r="D3" s="258">
        <v>-4.5863467983771099E-3</v>
      </c>
      <c r="E3" s="258">
        <v>8.6656034024454893E-3</v>
      </c>
      <c r="F3" s="258">
        <v>5.0686062650433499E-3</v>
      </c>
      <c r="G3" s="258">
        <v>1.04706550714504E-2</v>
      </c>
      <c r="H3" s="258">
        <v>4.0387299371946704E-3</v>
      </c>
      <c r="I3" s="258">
        <v>5.0476529716862997E-3</v>
      </c>
      <c r="J3" s="258">
        <v>4.3480515888107999E-3</v>
      </c>
      <c r="K3" s="258">
        <v>5.1468752958592203E-3</v>
      </c>
      <c r="L3" s="258">
        <v>4.6923834396541703E-3</v>
      </c>
      <c r="M3" s="258">
        <v>4.7556953286800301E-3</v>
      </c>
      <c r="N3" s="258">
        <v>4.9367636206325604E-3</v>
      </c>
      <c r="O3" s="258">
        <v>4.8787487444397204E-3</v>
      </c>
      <c r="P3" s="258">
        <v>4.97265877649067E-3</v>
      </c>
      <c r="Q3" s="258">
        <v>5.03163578312149E-3</v>
      </c>
      <c r="R3" s="258">
        <v>5.1478231943116199E-3</v>
      </c>
      <c r="S3" s="258">
        <v>5.23729150119134E-3</v>
      </c>
      <c r="T3" s="258">
        <v>5.2429278089169999E-3</v>
      </c>
      <c r="U3" s="258">
        <v>5.2728969820035098E-3</v>
      </c>
      <c r="V3" s="258">
        <v>5.2941080649626703E-3</v>
      </c>
      <c r="W3" s="258">
        <v>5.26622808438937E-3</v>
      </c>
    </row>
    <row r="4" spans="1:23">
      <c r="A4" s="225" t="s">
        <v>456</v>
      </c>
      <c r="B4" s="255">
        <v>110.529</v>
      </c>
      <c r="C4" s="255">
        <v>110.88200000000001</v>
      </c>
      <c r="D4" s="255">
        <v>110.435</v>
      </c>
      <c r="E4" s="255">
        <v>111.431</v>
      </c>
      <c r="F4" s="255">
        <v>111.83499999999999</v>
      </c>
      <c r="G4" s="255">
        <v>112.864</v>
      </c>
      <c r="H4" s="255">
        <v>113.331748734778</v>
      </c>
      <c r="I4" s="255">
        <v>113.915555194576</v>
      </c>
      <c r="J4" s="255">
        <v>114.364746923467</v>
      </c>
      <c r="K4" s="255">
        <v>114.924235646865</v>
      </c>
      <c r="L4" s="255">
        <v>115.440791354819</v>
      </c>
      <c r="M4" s="255">
        <v>115.96851279450701</v>
      </c>
      <c r="N4" s="255">
        <v>116.52210368492899</v>
      </c>
      <c r="O4" s="255">
        <v>117.071115307263</v>
      </c>
      <c r="P4" s="255">
        <v>117.63129076657199</v>
      </c>
      <c r="Q4" s="255">
        <v>118.20059915499699</v>
      </c>
      <c r="R4" s="255">
        <v>118.776332952822</v>
      </c>
      <c r="S4" s="255">
        <v>119.374397493133</v>
      </c>
      <c r="T4" s="255">
        <v>119.981640842685</v>
      </c>
      <c r="U4" s="255">
        <v>120.594864779056</v>
      </c>
      <c r="V4" s="255">
        <v>121.219127553946</v>
      </c>
      <c r="W4" s="255">
        <v>121.837226137653</v>
      </c>
    </row>
    <row r="5" spans="1:23">
      <c r="A5" s="225" t="s">
        <v>455</v>
      </c>
      <c r="B5" s="258">
        <v>3.82351872706788E-3</v>
      </c>
      <c r="C5" s="258">
        <v>3.1937319617476598E-3</v>
      </c>
      <c r="D5" s="258">
        <v>-4.0313125665121198E-3</v>
      </c>
      <c r="E5" s="258">
        <v>9.0188798840946695E-3</v>
      </c>
      <c r="F5" s="258">
        <v>3.6255620069818302E-3</v>
      </c>
      <c r="G5" s="258">
        <v>9.2010551258552304E-3</v>
      </c>
      <c r="H5" s="258">
        <v>4.1443572332882104E-3</v>
      </c>
      <c r="I5" s="258">
        <v>5.1513054930816303E-3</v>
      </c>
      <c r="J5" s="258">
        <v>3.9431992244038901E-3</v>
      </c>
      <c r="K5" s="258">
        <v>4.8921432386195302E-3</v>
      </c>
      <c r="L5" s="258">
        <v>4.49474999808697E-3</v>
      </c>
      <c r="M5" s="258">
        <v>4.5713602054786601E-3</v>
      </c>
      <c r="N5" s="258">
        <v>4.7736310234707301E-3</v>
      </c>
      <c r="O5" s="258">
        <v>4.7116521670327299E-3</v>
      </c>
      <c r="P5" s="258">
        <v>4.7849160558435201E-3</v>
      </c>
      <c r="Q5" s="258">
        <v>4.8397699686470999E-3</v>
      </c>
      <c r="R5" s="258">
        <v>4.87081962308911E-3</v>
      </c>
      <c r="S5" s="258">
        <v>5.0352164058453698E-3</v>
      </c>
      <c r="T5" s="258">
        <v>5.0868809585997701E-3</v>
      </c>
      <c r="U5" s="258">
        <v>5.11098141402422E-3</v>
      </c>
      <c r="V5" s="258">
        <v>5.1765286692269097E-3</v>
      </c>
      <c r="W5" s="258">
        <v>5.0990185804744596E-3</v>
      </c>
    </row>
    <row r="6" spans="1:23">
      <c r="A6" s="225" t="s">
        <v>454</v>
      </c>
      <c r="B6" s="255">
        <v>111.28100000000001</v>
      </c>
      <c r="C6" s="255">
        <v>111.205</v>
      </c>
      <c r="D6" s="255">
        <v>110.901</v>
      </c>
      <c r="E6" s="255">
        <v>111.373</v>
      </c>
      <c r="F6" s="255">
        <v>112.102</v>
      </c>
      <c r="G6" s="255">
        <v>113.15</v>
      </c>
      <c r="H6" s="255">
        <v>113.740871678471</v>
      </c>
      <c r="I6" s="255">
        <v>114.281152336175</v>
      </c>
      <c r="J6" s="255">
        <v>114.807363360671</v>
      </c>
      <c r="K6" s="255">
        <v>115.391332330529</v>
      </c>
      <c r="L6" s="255">
        <v>115.906636484177</v>
      </c>
      <c r="M6" s="255">
        <v>116.47813120061301</v>
      </c>
      <c r="N6" s="255">
        <v>117.06948406540501</v>
      </c>
      <c r="O6" s="255">
        <v>117.660979705042</v>
      </c>
      <c r="P6" s="255">
        <v>118.263437866774</v>
      </c>
      <c r="Q6" s="255">
        <v>118.87469011020799</v>
      </c>
      <c r="R6" s="255">
        <v>119.499263080446</v>
      </c>
      <c r="S6" s="255">
        <v>120.12606865428199</v>
      </c>
      <c r="T6" s="255">
        <v>120.750798876066</v>
      </c>
      <c r="U6" s="255">
        <v>121.383984751452</v>
      </c>
      <c r="V6" s="255">
        <v>122.03331038248599</v>
      </c>
      <c r="W6" s="255">
        <v>122.676475823877</v>
      </c>
    </row>
    <row r="7" spans="1:23">
      <c r="A7" s="225" t="s">
        <v>453</v>
      </c>
      <c r="B7" s="258">
        <v>3.24555314142505E-3</v>
      </c>
      <c r="C7" s="258">
        <v>-6.8295576064203401E-4</v>
      </c>
      <c r="D7" s="258">
        <v>-2.7336900319230302E-3</v>
      </c>
      <c r="E7" s="258">
        <v>4.2560481871218902E-3</v>
      </c>
      <c r="F7" s="258">
        <v>6.5455720865918998E-3</v>
      </c>
      <c r="G7" s="258">
        <v>9.3486289272271001E-3</v>
      </c>
      <c r="H7" s="258">
        <v>5.2220210205149399E-3</v>
      </c>
      <c r="I7" s="258">
        <v>4.7501012585042801E-3</v>
      </c>
      <c r="J7" s="258">
        <v>4.6045302636466001E-3</v>
      </c>
      <c r="K7" s="258">
        <v>5.08651146376282E-3</v>
      </c>
      <c r="L7" s="258">
        <v>4.4657093669009402E-3</v>
      </c>
      <c r="M7" s="258">
        <v>4.93064706017576E-3</v>
      </c>
      <c r="N7" s="258">
        <v>5.07694327421948E-3</v>
      </c>
      <c r="O7" s="258">
        <v>5.0525176937379302E-3</v>
      </c>
      <c r="P7" s="258">
        <v>5.1202885038195102E-3</v>
      </c>
      <c r="Q7" s="258">
        <v>5.1685648114068198E-3</v>
      </c>
      <c r="R7" s="258">
        <v>5.2540449919040704E-3</v>
      </c>
      <c r="S7" s="258">
        <v>5.2452672734406604E-3</v>
      </c>
      <c r="T7" s="258">
        <v>5.2006215535225202E-3</v>
      </c>
      <c r="U7" s="258">
        <v>5.2437406731884496E-3</v>
      </c>
      <c r="V7" s="258">
        <v>5.3493517482039498E-3</v>
      </c>
      <c r="W7" s="258">
        <v>5.2704088693051902E-3</v>
      </c>
    </row>
    <row r="8" spans="1:23">
      <c r="A8" s="225" t="s">
        <v>452</v>
      </c>
      <c r="B8" s="255">
        <v>115.81100000000001</v>
      </c>
      <c r="C8" s="255">
        <v>116.688</v>
      </c>
      <c r="D8" s="255">
        <v>115.96899999999999</v>
      </c>
      <c r="E8" s="255">
        <v>116.889</v>
      </c>
      <c r="F8" s="255">
        <v>117.727</v>
      </c>
      <c r="G8" s="255">
        <v>119.875</v>
      </c>
      <c r="H8" s="255">
        <v>120.76873975873001</v>
      </c>
      <c r="I8" s="255">
        <v>121.552279732736</v>
      </c>
      <c r="J8" s="255">
        <v>122.340256590244</v>
      </c>
      <c r="K8" s="255">
        <v>123.25721026709</v>
      </c>
      <c r="L8" s="255">
        <v>124.206114070071</v>
      </c>
      <c r="M8" s="255">
        <v>125.17969366017699</v>
      </c>
      <c r="N8" s="255">
        <v>126.18181722618</v>
      </c>
      <c r="O8" s="255">
        <v>127.184679442917</v>
      </c>
      <c r="P8" s="255">
        <v>128.20678945908199</v>
      </c>
      <c r="Q8" s="255">
        <v>129.23804458913099</v>
      </c>
      <c r="R8" s="255">
        <v>130.283856199566</v>
      </c>
      <c r="S8" s="255">
        <v>131.336805862246</v>
      </c>
      <c r="T8" s="255">
        <v>132.40388083176001</v>
      </c>
      <c r="U8" s="255">
        <v>133.47650409411</v>
      </c>
      <c r="V8" s="255">
        <v>134.564804617167</v>
      </c>
      <c r="W8" s="255">
        <v>135.654176919939</v>
      </c>
    </row>
    <row r="9" spans="1:23">
      <c r="A9" s="225" t="s">
        <v>451</v>
      </c>
      <c r="B9" s="258">
        <v>4.7630615467371103E-3</v>
      </c>
      <c r="C9" s="258">
        <v>7.57268307846393E-3</v>
      </c>
      <c r="D9" s="258">
        <v>-6.1617304264364198E-3</v>
      </c>
      <c r="E9" s="258">
        <v>7.9331545499228308E-3</v>
      </c>
      <c r="F9" s="258">
        <v>7.1691947060887901E-3</v>
      </c>
      <c r="G9" s="258">
        <v>1.8245602113363901E-2</v>
      </c>
      <c r="H9" s="258">
        <v>7.4555975702150796E-3</v>
      </c>
      <c r="I9" s="258">
        <v>6.4879369907486798E-3</v>
      </c>
      <c r="J9" s="258">
        <v>6.4826168562215304E-3</v>
      </c>
      <c r="K9" s="258">
        <v>7.4951099695452798E-3</v>
      </c>
      <c r="L9" s="258">
        <v>7.6985662820430196E-3</v>
      </c>
      <c r="M9" s="258">
        <v>7.8384192066154306E-3</v>
      </c>
      <c r="N9" s="258">
        <v>8.0054802556355203E-3</v>
      </c>
      <c r="O9" s="258">
        <v>7.9477553801552397E-3</v>
      </c>
      <c r="P9" s="258">
        <v>8.0364240460568705E-3</v>
      </c>
      <c r="Q9" s="258">
        <v>8.0436857860606299E-3</v>
      </c>
      <c r="R9" s="258">
        <v>8.0921342764015396E-3</v>
      </c>
      <c r="S9" s="258">
        <v>8.0819657430741803E-3</v>
      </c>
      <c r="T9" s="258">
        <v>8.1247214937825198E-3</v>
      </c>
      <c r="U9" s="258">
        <v>8.1011467006266696E-3</v>
      </c>
      <c r="V9" s="258">
        <v>8.1534988531763997E-3</v>
      </c>
      <c r="W9" s="258">
        <v>8.0955217515532602E-3</v>
      </c>
    </row>
    <row r="10" spans="1:23">
      <c r="A10" s="225" t="s">
        <v>450</v>
      </c>
      <c r="B10" s="255">
        <v>115.65</v>
      </c>
      <c r="C10" s="255">
        <v>116.628</v>
      </c>
      <c r="D10" s="255">
        <v>115.81100000000001</v>
      </c>
      <c r="E10" s="255">
        <v>116.685</v>
      </c>
      <c r="F10" s="255">
        <v>117.64700000000001</v>
      </c>
      <c r="G10" s="255">
        <v>119.90600000000001</v>
      </c>
      <c r="H10" s="255">
        <v>120.799970882254</v>
      </c>
      <c r="I10" s="255">
        <v>121.583713481823</v>
      </c>
      <c r="J10" s="255">
        <v>122.37189411228201</v>
      </c>
      <c r="K10" s="255">
        <v>123.28908491583501</v>
      </c>
      <c r="L10" s="255">
        <v>124.23823410791201</v>
      </c>
      <c r="M10" s="255">
        <v>125.21206546833901</v>
      </c>
      <c r="N10" s="255">
        <v>126.214448186213</v>
      </c>
      <c r="O10" s="255">
        <v>127.217569745839</v>
      </c>
      <c r="P10" s="255">
        <v>128.23994408242501</v>
      </c>
      <c r="Q10" s="255">
        <v>129.27146589784601</v>
      </c>
      <c r="R10" s="255">
        <v>130.31754795799901</v>
      </c>
      <c r="S10" s="255">
        <v>131.37076991631699</v>
      </c>
      <c r="T10" s="255">
        <v>132.43812083431101</v>
      </c>
      <c r="U10" s="255">
        <v>133.51102147994499</v>
      </c>
      <c r="V10" s="255">
        <v>134.599603440468</v>
      </c>
      <c r="W10" s="255">
        <v>135.68925745787101</v>
      </c>
    </row>
    <row r="11" spans="1:23">
      <c r="A11" s="225" t="s">
        <v>449</v>
      </c>
      <c r="B11" s="258">
        <v>5.5909640282765204E-3</v>
      </c>
      <c r="C11" s="258">
        <v>8.4565499351492192E-3</v>
      </c>
      <c r="D11" s="258">
        <v>-7.0051788592789804E-3</v>
      </c>
      <c r="E11" s="258">
        <v>7.5467788033951599E-3</v>
      </c>
      <c r="F11" s="258">
        <v>8.2444187341990105E-3</v>
      </c>
      <c r="G11" s="258">
        <v>1.9201509600754701E-2</v>
      </c>
      <c r="H11" s="258">
        <v>7.4555975702150796E-3</v>
      </c>
      <c r="I11" s="258">
        <v>6.4879369907486798E-3</v>
      </c>
      <c r="J11" s="258">
        <v>6.4826168562215304E-3</v>
      </c>
      <c r="K11" s="258">
        <v>7.4951099695452798E-3</v>
      </c>
      <c r="L11" s="258">
        <v>7.6985662820430196E-3</v>
      </c>
      <c r="M11" s="258">
        <v>7.8384192066154306E-3</v>
      </c>
      <c r="N11" s="258">
        <v>8.0054802556355203E-3</v>
      </c>
      <c r="O11" s="258">
        <v>7.9477553801552397E-3</v>
      </c>
      <c r="P11" s="258">
        <v>8.0364240460568705E-3</v>
      </c>
      <c r="Q11" s="258">
        <v>8.0436857860606299E-3</v>
      </c>
      <c r="R11" s="258">
        <v>8.0921342764015396E-3</v>
      </c>
      <c r="S11" s="258">
        <v>8.0819657430741803E-3</v>
      </c>
      <c r="T11" s="258">
        <v>8.1247214937825198E-3</v>
      </c>
      <c r="U11" s="258">
        <v>8.1011467006266696E-3</v>
      </c>
      <c r="V11" s="258">
        <v>8.1534988531763997E-3</v>
      </c>
      <c r="W11" s="258">
        <v>8.0955217515532602E-3</v>
      </c>
    </row>
    <row r="12" spans="1:23">
      <c r="A12" s="225" t="s">
        <v>448</v>
      </c>
      <c r="B12" s="255">
        <v>116.521</v>
      </c>
      <c r="C12" s="255">
        <v>116.961</v>
      </c>
      <c r="D12" s="255">
        <v>116.655</v>
      </c>
      <c r="E12" s="255">
        <v>117.77500000000001</v>
      </c>
      <c r="F12" s="255">
        <v>118.093</v>
      </c>
      <c r="G12" s="255">
        <v>119.773</v>
      </c>
      <c r="H12" s="255">
        <v>120.66597928777701</v>
      </c>
      <c r="I12" s="255">
        <v>121.448852558323</v>
      </c>
      <c r="J12" s="255">
        <v>122.236158937087</v>
      </c>
      <c r="K12" s="255">
        <v>123.152332390575</v>
      </c>
      <c r="L12" s="255">
        <v>124.100428784272</v>
      </c>
      <c r="M12" s="255">
        <v>125.073179968804</v>
      </c>
      <c r="N12" s="255">
        <v>126.074450841554</v>
      </c>
      <c r="O12" s="255">
        <v>127.07645973653</v>
      </c>
      <c r="P12" s="255">
        <v>128.09770005324401</v>
      </c>
      <c r="Q12" s="255">
        <v>129.12807770238999</v>
      </c>
      <c r="R12" s="255">
        <v>130.172999446011</v>
      </c>
      <c r="S12" s="255">
        <v>131.22505316820701</v>
      </c>
      <c r="T12" s="255">
        <v>132.29122017820501</v>
      </c>
      <c r="U12" s="255">
        <v>133.36293076007399</v>
      </c>
      <c r="V12" s="255">
        <v>134.45030526308199</v>
      </c>
      <c r="W12" s="255">
        <v>135.53875063384299</v>
      </c>
    </row>
    <row r="13" spans="1:23">
      <c r="A13" s="225" t="s">
        <v>447</v>
      </c>
      <c r="B13" s="258">
        <v>1.11692484814108E-3</v>
      </c>
      <c r="C13" s="258">
        <v>3.7761433561331898E-3</v>
      </c>
      <c r="D13" s="258">
        <v>-2.6162567009515602E-3</v>
      </c>
      <c r="E13" s="258">
        <v>9.6009600960096399E-3</v>
      </c>
      <c r="F13" s="258">
        <v>2.7000636807472701E-3</v>
      </c>
      <c r="G13" s="258">
        <v>1.42260760586994E-2</v>
      </c>
      <c r="H13" s="258">
        <v>7.4555975702150796E-3</v>
      </c>
      <c r="I13" s="258">
        <v>6.4879369907486798E-3</v>
      </c>
      <c r="J13" s="258">
        <v>6.4826168562215304E-3</v>
      </c>
      <c r="K13" s="258">
        <v>7.4951099695452798E-3</v>
      </c>
      <c r="L13" s="258">
        <v>7.6985662820430196E-3</v>
      </c>
      <c r="M13" s="258">
        <v>7.8384192066154306E-3</v>
      </c>
      <c r="N13" s="258">
        <v>8.0054802556355203E-3</v>
      </c>
      <c r="O13" s="258">
        <v>7.9477553801552397E-3</v>
      </c>
      <c r="P13" s="258">
        <v>8.0364240460568705E-3</v>
      </c>
      <c r="Q13" s="258">
        <v>8.0436857860606299E-3</v>
      </c>
      <c r="R13" s="258">
        <v>8.0921342764015396E-3</v>
      </c>
      <c r="S13" s="258">
        <v>8.0819657430741803E-3</v>
      </c>
      <c r="T13" s="258">
        <v>8.1247214937825198E-3</v>
      </c>
      <c r="U13" s="258">
        <v>8.1011467006266696E-3</v>
      </c>
      <c r="V13" s="258">
        <v>8.1534988531763997E-3</v>
      </c>
      <c r="W13" s="258">
        <v>8.0955217515532602E-3</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515011893A210449DAA8339AE3CA5B0" ma:contentTypeVersion="13" ma:contentTypeDescription="Create a new document." ma:contentTypeScope="" ma:versionID="477fc3160cd11f7e8ffc4c735a86b82a">
  <xsd:schema xmlns:xsd="http://www.w3.org/2001/XMLSchema" xmlns:xs="http://www.w3.org/2001/XMLSchema" xmlns:p="http://schemas.microsoft.com/office/2006/metadata/properties" xmlns:ns3="deabcd68-119c-429a-9d71-422d03771023" xmlns:ns4="077f7628-a02d-4539-9cae-e7e6d8970771" targetNamespace="http://schemas.microsoft.com/office/2006/metadata/properties" ma:root="true" ma:fieldsID="e9cf3452fc7d40f4f91f7dd95bdc8891" ns3:_="" ns4:_="">
    <xsd:import namespace="deabcd68-119c-429a-9d71-422d03771023"/>
    <xsd:import namespace="077f7628-a02d-4539-9cae-e7e6d897077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abcd68-119c-429a-9d71-422d037710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77f7628-a02d-4539-9cae-e7e6d897077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7306B3-7256-4977-AE8A-EB5C0E6CDD07}">
  <ds:schemaRefs>
    <ds:schemaRef ds:uri="http://purl.org/dc/elements/1.1/"/>
    <ds:schemaRef ds:uri="http://schemas.microsoft.com/office/2006/metadata/properties"/>
    <ds:schemaRef ds:uri="deabcd68-119c-429a-9d71-422d03771023"/>
    <ds:schemaRef ds:uri="http://schemas.microsoft.com/office/infopath/2007/PartnerControls"/>
    <ds:schemaRef ds:uri="http://schemas.openxmlformats.org/package/2006/metadata/core-properties"/>
    <ds:schemaRef ds:uri="http://schemas.microsoft.com/office/2006/documentManagement/types"/>
    <ds:schemaRef ds:uri="http://www.w3.org/XML/1998/namespace"/>
    <ds:schemaRef ds:uri="077f7628-a02d-4539-9cae-e7e6d8970771"/>
    <ds:schemaRef ds:uri="http://purl.org/dc/dcmitype/"/>
    <ds:schemaRef ds:uri="http://purl.org/dc/terms/"/>
  </ds:schemaRefs>
</ds:datastoreItem>
</file>

<file path=customXml/itemProps2.xml><?xml version="1.0" encoding="utf-8"?>
<ds:datastoreItem xmlns:ds="http://schemas.openxmlformats.org/officeDocument/2006/customXml" ds:itemID="{25FF0053-8299-499B-B6D8-4A210CA85C0D}">
  <ds:schemaRefs>
    <ds:schemaRef ds:uri="http://schemas.microsoft.com/sharepoint/v3/contenttype/forms"/>
  </ds:schemaRefs>
</ds:datastoreItem>
</file>

<file path=customXml/itemProps3.xml><?xml version="1.0" encoding="utf-8"?>
<ds:datastoreItem xmlns:ds="http://schemas.openxmlformats.org/officeDocument/2006/customXml" ds:itemID="{64699E5E-0EC3-4FF6-BB49-AAB0B327F7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abcd68-119c-429a-9d71-422d03771023"/>
    <ds:schemaRef ds:uri="077f7628-a02d-4539-9cae-e7e6d89707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Guide to the FIM Spreadsheet</vt:lpstr>
      <vt:lpstr>Checklist (New Quarter Release)</vt:lpstr>
      <vt:lpstr>Checklist (Monthly Revision)</vt:lpstr>
      <vt:lpstr>Checklist (CBO Budget Release)</vt:lpstr>
      <vt:lpstr>Revisions</vt:lpstr>
      <vt:lpstr>forecast comparison</vt:lpstr>
      <vt:lpstr>forecast</vt:lpstr>
      <vt:lpstr>MPI Haver pull test</vt:lpstr>
      <vt:lpstr>Monthly Personal Income</vt:lpstr>
      <vt:lpstr>historical overrides</vt:lpstr>
      <vt:lpstr>mpc</vt:lpstr>
      <vt:lpstr>Provider Relief</vt:lpstr>
      <vt:lpstr>PPP</vt:lpstr>
      <vt:lpstr>Grants</vt:lpstr>
      <vt:lpstr>Federal and State Purchases</vt:lpstr>
      <vt:lpstr>Subsidies</vt:lpstr>
      <vt:lpstr>Unemployment Insurance</vt:lpstr>
      <vt:lpstr>Medicaid</vt:lpstr>
      <vt:lpstr>Medicare</vt:lpstr>
      <vt:lpstr>Rebate Checks</vt:lpstr>
      <vt:lpstr>Social Benefits</vt:lpstr>
      <vt:lpstr>Taxes</vt:lpstr>
      <vt:lpstr>Haver Pivoted</vt:lpstr>
      <vt:lpstr>Cares Act Scores</vt:lpstr>
      <vt:lpstr>Response and Relief Act Score</vt:lpstr>
      <vt:lpstr>ARP Score</vt:lpstr>
      <vt:lpstr>ARP Timing</vt:lpstr>
      <vt:lpstr>ARP Quarterly</vt:lpstr>
      <vt:lpstr>Deflators</vt:lpstr>
    </vt:vector>
  </TitlesOfParts>
  <Company>The Brookings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Sheiner</dc:creator>
  <cp:lastModifiedBy>Microsoft Office User</cp:lastModifiedBy>
  <dcterms:created xsi:type="dcterms:W3CDTF">2021-05-28T15:43:48Z</dcterms:created>
  <dcterms:modified xsi:type="dcterms:W3CDTF">2021-08-26T14:54:19Z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0x0101008515011893A210449DAA8339AE3CA5B0</vt:lpwstr>
  </property>
</Properties>
</file>