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m/data/"/>
    </mc:Choice>
  </mc:AlternateContent>
  <xr:revisionPtr revIDLastSave="0" documentId="13_ncr:1_{73F26692-DAD2-1A4B-9D78-1771043C43BA}" xr6:coauthVersionLast="47" xr6:coauthVersionMax="47" xr10:uidLastSave="{00000000-0000-0000-0000-000000000000}"/>
  <bookViews>
    <workbookView xWindow="7140" yWindow="500" windowWidth="32480" windowHeight="19060" activeTab="3" xr2:uid="{BAFE3F49-3B7E-4387-938E-5F3D7AC6DAFE}"/>
  </bookViews>
  <sheets>
    <sheet name="main" sheetId="1" r:id="rId1"/>
    <sheet name="PPP" sheetId="17" r:id="rId2"/>
    <sheet name="Stimulus Round 2" sheetId="16" r:id="rId3"/>
    <sheet name="add-ons calculations" sheetId="5" r:id="rId4"/>
    <sheet name="FIM Add Factors" sheetId="9" r:id="rId5"/>
    <sheet name="main_nipas" sheetId="10" r:id="rId6"/>
    <sheet name="add-ons calculations nipas" sheetId="11" r:id="rId7"/>
    <sheet name="NIPA Add Factors" sheetId="12" r:id="rId8"/>
    <sheet name="Haver NA" sheetId="14" r:id="rId9"/>
    <sheet name="ui" sheetId="13" r:id="rId10"/>
    <sheet name="MPC" sheetId="8" r:id="rId11"/>
    <sheet name="MPC - round (2)" sheetId="15" r:id="rId12"/>
    <sheet name="figuring out Medicaid" sheetId="7" r:id="rId13"/>
    <sheet name="add-ons - Kadija b4" sheetId="6" state="hidden" r:id="rId14"/>
    <sheet name="figuring out UI" sheetId="4" r:id="rId15"/>
    <sheet name="figuring NIPA tax changes" sheetId="3" r:id="rId16"/>
    <sheet name="figuring out social benefits" sheetId="2" r:id="rId17"/>
  </sheets>
  <externalReferences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7" l="1"/>
  <c r="B15" i="17" s="1"/>
  <c r="D9" i="17"/>
  <c r="E6" i="17"/>
  <c r="F6" i="17"/>
  <c r="G6" i="17"/>
  <c r="H6" i="17"/>
  <c r="I6" i="17"/>
  <c r="D6" i="17"/>
  <c r="D5" i="17"/>
  <c r="E5" i="17"/>
  <c r="F5" i="17"/>
  <c r="G5" i="17"/>
  <c r="H5" i="17"/>
  <c r="C5" i="17"/>
  <c r="C4" i="17"/>
  <c r="C9" i="17" s="1"/>
  <c r="D4" i="17"/>
  <c r="E4" i="17"/>
  <c r="F4" i="17"/>
  <c r="G4" i="17"/>
  <c r="B4" i="17"/>
  <c r="B9" i="17" s="1"/>
  <c r="B12" i="17" s="1"/>
  <c r="B13" i="17" s="1"/>
  <c r="E2" i="17"/>
  <c r="C14" i="17" s="1"/>
  <c r="C15" i="17" s="1"/>
  <c r="F9" i="17" l="1"/>
  <c r="G7" i="17"/>
  <c r="G9" i="17" s="1"/>
  <c r="F7" i="17"/>
  <c r="I7" i="17"/>
  <c r="I9" i="17" s="1"/>
  <c r="J7" i="17"/>
  <c r="J9" i="17" s="1"/>
  <c r="H7" i="17"/>
  <c r="H9" i="17" s="1"/>
  <c r="E7" i="17"/>
  <c r="E9" i="17" s="1"/>
  <c r="C12" i="17" s="1"/>
  <c r="C13" i="17" s="1"/>
  <c r="O68" i="1"/>
  <c r="O72" i="1"/>
  <c r="D12" i="17" l="1"/>
  <c r="D13" i="17" s="1"/>
  <c r="M72" i="1"/>
  <c r="L72" i="1"/>
  <c r="O11" i="9"/>
  <c r="O12" i="9"/>
  <c r="O13" i="9"/>
  <c r="O10" i="9"/>
  <c r="O7" i="9"/>
  <c r="O8" i="9"/>
  <c r="O9" i="9"/>
  <c r="O6" i="9"/>
  <c r="L73" i="1" l="1"/>
  <c r="L69" i="1" l="1"/>
  <c r="M3" i="9" l="1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M73" i="1" l="1"/>
  <c r="M83" i="1" s="1"/>
  <c r="N73" i="1"/>
  <c r="D22" i="5"/>
  <c r="D29" i="5"/>
  <c r="D36" i="5"/>
  <c r="D42" i="5"/>
  <c r="D48" i="5"/>
  <c r="D55" i="5"/>
  <c r="O74" i="1"/>
  <c r="P74" i="1"/>
  <c r="Q74" i="1"/>
  <c r="R74" i="1"/>
  <c r="S74" i="1"/>
  <c r="L8" i="1" l="1"/>
  <c r="K8" i="1"/>
  <c r="J8" i="1"/>
  <c r="I8" i="1"/>
  <c r="H8" i="1"/>
  <c r="G8" i="1"/>
  <c r="M13" i="4" l="1"/>
  <c r="M12" i="4"/>
  <c r="M11" i="4"/>
  <c r="M10" i="4"/>
  <c r="T74" i="1"/>
  <c r="U74" i="1"/>
  <c r="V74" i="1"/>
  <c r="W74" i="1"/>
  <c r="X74" i="1"/>
  <c r="Y74" i="1"/>
  <c r="Z74" i="1"/>
  <c r="I62" i="5"/>
  <c r="L12" i="9"/>
  <c r="L11" i="9"/>
  <c r="L10" i="9"/>
  <c r="L9" i="9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2" i="1"/>
  <c r="N106" i="1"/>
  <c r="N103" i="1"/>
  <c r="N100" i="1"/>
  <c r="N97" i="1"/>
  <c r="N93" i="1"/>
  <c r="N86" i="1"/>
  <c r="N85" i="1"/>
  <c r="N87" i="1" s="1"/>
  <c r="N68" i="1"/>
  <c r="N61" i="1"/>
  <c r="N60" i="1"/>
  <c r="N59" i="1"/>
  <c r="N57" i="1"/>
  <c r="N54" i="1"/>
  <c r="N49" i="1"/>
  <c r="N48" i="1"/>
  <c r="N41" i="1"/>
  <c r="N35" i="1"/>
  <c r="N34" i="1"/>
  <c r="N18" i="1"/>
  <c r="N15" i="1"/>
  <c r="N12" i="1"/>
  <c r="N7" i="1"/>
  <c r="N5" i="1"/>
  <c r="N29" i="1"/>
  <c r="N28" i="1"/>
  <c r="N27" i="1"/>
  <c r="L102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4" i="1"/>
  <c r="N108" i="1"/>
  <c r="N95" i="1"/>
  <c r="N26" i="1"/>
  <c r="G35" i="5" s="1"/>
  <c r="G37" i="5" s="1"/>
  <c r="N102" i="1"/>
  <c r="N98" i="1"/>
  <c r="O98" i="1" s="1"/>
  <c r="P98" i="1" s="1"/>
  <c r="Q98" i="1" s="1"/>
  <c r="R98" i="1" s="1"/>
  <c r="S98" i="1" s="1"/>
  <c r="N112" i="1"/>
  <c r="N70" i="1"/>
  <c r="N71" i="1" s="1"/>
  <c r="N58" i="1"/>
  <c r="N47" i="1"/>
  <c r="N40" i="1"/>
  <c r="N11" i="1"/>
  <c r="N6" i="1"/>
  <c r="N30" i="1" s="1"/>
  <c r="G41" i="5" s="1"/>
  <c r="G43" i="5" s="1"/>
  <c r="N88" i="1"/>
  <c r="O71" i="1" l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83" i="1"/>
  <c r="F21" i="5"/>
  <c r="F24" i="5" s="1"/>
  <c r="G47" i="5"/>
  <c r="G50" i="5" s="1"/>
  <c r="N55" i="1"/>
  <c r="N50" i="1"/>
  <c r="N31" i="1"/>
  <c r="O26" i="4"/>
  <c r="N26" i="4"/>
  <c r="L112" i="1"/>
  <c r="D21" i="5" s="1"/>
  <c r="K112" i="1"/>
  <c r="J112" i="1"/>
  <c r="I112" i="1"/>
  <c r="H112" i="1"/>
  <c r="G112" i="1"/>
  <c r="F112" i="1"/>
  <c r="N51" i="1" l="1"/>
  <c r="B21" i="16"/>
  <c r="C20" i="16"/>
  <c r="S66" i="1" s="1"/>
  <c r="S55" i="1" s="1"/>
  <c r="C19" i="16"/>
  <c r="R39" i="1" s="1"/>
  <c r="C18" i="16"/>
  <c r="C17" i="16"/>
  <c r="B16" i="16"/>
  <c r="C16" i="16" s="1"/>
  <c r="C15" i="16"/>
  <c r="P38" i="1" s="1"/>
  <c r="B13" i="16"/>
  <c r="C13" i="16" s="1"/>
  <c r="V79" i="1" s="1"/>
  <c r="B10" i="16"/>
  <c r="C10" i="16" s="1"/>
  <c r="U81" i="1" s="1"/>
  <c r="C9" i="16"/>
  <c r="R92" i="1" s="1"/>
  <c r="C8" i="16"/>
  <c r="C7" i="16"/>
  <c r="O90" i="1" s="1"/>
  <c r="C14" i="16"/>
  <c r="C12" i="16"/>
  <c r="C11" i="16"/>
  <c r="C6" i="16"/>
  <c r="C5" i="16"/>
  <c r="C4" i="16"/>
  <c r="O37" i="1" s="1"/>
  <c r="P5" i="9" s="1"/>
  <c r="C3" i="16"/>
  <c r="O45" i="1" s="1"/>
  <c r="C2" i="16"/>
  <c r="AD93" i="1"/>
  <c r="AC93" i="1"/>
  <c r="AI93" i="1"/>
  <c r="AJ93" i="1"/>
  <c r="AK93" i="1"/>
  <c r="W94" i="1"/>
  <c r="X94" i="1"/>
  <c r="Y94" i="1"/>
  <c r="Z94" i="1"/>
  <c r="P64" i="1" l="1"/>
  <c r="Q64" i="1"/>
  <c r="O63" i="1"/>
  <c r="P63" i="1"/>
  <c r="T80" i="1"/>
  <c r="O80" i="1"/>
  <c r="Q91" i="1"/>
  <c r="O91" i="1"/>
  <c r="P92" i="1"/>
  <c r="O92" i="1"/>
  <c r="O89" i="1"/>
  <c r="P79" i="1"/>
  <c r="P90" i="1"/>
  <c r="O79" i="1"/>
  <c r="W79" i="1"/>
  <c r="W80" i="1"/>
  <c r="T66" i="1"/>
  <c r="X80" i="1"/>
  <c r="Q90" i="1"/>
  <c r="Q92" i="1"/>
  <c r="Z80" i="1"/>
  <c r="X79" i="1"/>
  <c r="V81" i="1"/>
  <c r="Y79" i="1"/>
  <c r="W81" i="1"/>
  <c r="Z79" i="1"/>
  <c r="X81" i="1"/>
  <c r="Y80" i="1"/>
  <c r="Y81" i="1"/>
  <c r="R90" i="1"/>
  <c r="P80" i="1"/>
  <c r="Z81" i="1"/>
  <c r="Q80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U66" i="1"/>
  <c r="V66" i="1"/>
  <c r="O39" i="1"/>
  <c r="O66" i="1"/>
  <c r="P39" i="1"/>
  <c r="R91" i="1"/>
  <c r="Q39" i="1"/>
  <c r="O81" i="1"/>
  <c r="Q79" i="1"/>
  <c r="P81" i="1"/>
  <c r="O38" i="1"/>
  <c r="R79" i="1"/>
  <c r="Q81" i="1"/>
  <c r="R66" i="1"/>
  <c r="S79" i="1"/>
  <c r="R81" i="1"/>
  <c r="Q66" i="1"/>
  <c r="T79" i="1"/>
  <c r="R80" i="1"/>
  <c r="S81" i="1"/>
  <c r="P66" i="1"/>
  <c r="U79" i="1"/>
  <c r="S80" i="1"/>
  <c r="T81" i="1"/>
  <c r="P91" i="1"/>
  <c r="W54" i="1"/>
  <c r="X54" i="1"/>
  <c r="Y54" i="1"/>
  <c r="Z54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P89" i="1" l="1"/>
  <c r="Q89" i="1"/>
  <c r="V78" i="1"/>
  <c r="V73" i="1" s="1"/>
  <c r="O55" i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R89" i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W56" i="5" l="1"/>
  <c r="Q63" i="5"/>
  <c r="Z30" i="5"/>
  <c r="U70" i="5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V40" i="1"/>
  <c r="S40" i="1"/>
  <c r="T40" i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K83" i="1"/>
  <c r="T107" i="1"/>
  <c r="I15" i="7" l="1"/>
  <c r="I13" i="7" s="1"/>
  <c r="AK100" i="1" s="1"/>
  <c r="K15" i="7"/>
  <c r="K13" i="7" s="1"/>
  <c r="H15" i="7"/>
  <c r="H13" i="7" s="1"/>
  <c r="AJ100" i="1" s="1"/>
  <c r="G15" i="7"/>
  <c r="G13" i="7" s="1"/>
  <c r="AI100" i="1" s="1"/>
  <c r="J15" i="7"/>
  <c r="J13" i="7" s="1"/>
  <c r="U107" i="1"/>
  <c r="V107" i="1" s="1"/>
  <c r="O103" i="1"/>
  <c r="P103" i="1" s="1"/>
  <c r="Q103" i="1" s="1"/>
  <c r="R103" i="1" s="1"/>
  <c r="S103" i="1" s="1"/>
  <c r="T103" i="1" s="1"/>
  <c r="U103" i="1" s="1"/>
  <c r="V103" i="1" s="1"/>
  <c r="L15" i="7"/>
  <c r="L13" i="7" s="1"/>
  <c r="AD100" i="1"/>
  <c r="F111" i="1"/>
  <c r="F113" i="1" s="1"/>
  <c r="L47" i="1"/>
  <c r="L6" i="10" l="1"/>
  <c r="G24" i="11" s="1"/>
  <c r="G27" i="11" s="1"/>
  <c r="O100" i="1"/>
  <c r="O93" i="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O95" i="1" l="1"/>
  <c r="O70" i="1"/>
  <c r="M6" i="10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3" i="1"/>
  <c r="I56" i="6"/>
  <c r="I58" i="6" s="1"/>
  <c r="J54" i="6"/>
  <c r="U100" i="1"/>
  <c r="T83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N71" i="5" s="1"/>
  <c r="O83" i="1"/>
  <c r="P83" i="1"/>
  <c r="Q83" i="1"/>
  <c r="R83" i="1"/>
  <c r="O54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3" i="1"/>
  <c r="V112" i="1" s="1"/>
  <c r="P24" i="11"/>
  <c r="O27" i="11"/>
  <c r="L49" i="5"/>
  <c r="V83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3" i="1" l="1"/>
  <c r="P68" i="5" s="1"/>
  <c r="P71" i="5" s="1"/>
  <c r="H2" i="12" a="1"/>
  <c r="H12" i="12" s="1"/>
  <c r="Q24" i="11"/>
  <c r="P27" i="11"/>
  <c r="H3" i="9" a="1"/>
  <c r="X83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4" i="1"/>
  <c r="K94" i="1"/>
  <c r="D54" i="5" s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4" i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0" i="1"/>
  <c r="H94" i="1"/>
  <c r="I50" i="1"/>
  <c r="F50" i="1"/>
  <c r="AC40" i="1"/>
  <c r="I47" i="2"/>
  <c r="H47" i="2"/>
  <c r="F24" i="2"/>
  <c r="N111" i="1" l="1"/>
  <c r="AF40" i="1"/>
  <c r="AE46" i="1"/>
  <c r="N37" i="4"/>
  <c r="N38" i="4" s="1"/>
  <c r="N18" i="4" s="1"/>
  <c r="L94" i="1"/>
  <c r="E54" i="5" s="1"/>
  <c r="L40" i="1"/>
  <c r="Y24" i="11"/>
  <c r="X27" i="11"/>
  <c r="F94" i="1"/>
  <c r="G94" i="1"/>
  <c r="G51" i="1"/>
  <c r="H51" i="1"/>
  <c r="I94" i="1"/>
  <c r="I51" i="1"/>
  <c r="J51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6" i="1"/>
  <c r="L111" i="1"/>
  <c r="L113" i="1" s="1"/>
  <c r="E28" i="5" s="1"/>
  <c r="AE40" i="1"/>
  <c r="H49" i="2"/>
  <c r="H50" i="2" s="1"/>
  <c r="I49" i="2"/>
  <c r="I50" i="2" s="1"/>
  <c r="N113" i="1" l="1"/>
  <c r="N17" i="4"/>
  <c r="Z24" i="11"/>
  <c r="Y27" i="11"/>
  <c r="AD40" i="1"/>
  <c r="Z68" i="5"/>
  <c r="Y71" i="5"/>
  <c r="AE15" i="1"/>
  <c r="AF18" i="1"/>
  <c r="AE18" i="1"/>
  <c r="AC68" i="1"/>
  <c r="AC54" i="1"/>
  <c r="AC35" i="1"/>
  <c r="AC34" i="1"/>
  <c r="AG21" i="1"/>
  <c r="AG18" i="1"/>
  <c r="AG15" i="1"/>
  <c r="AG12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AF15" i="1"/>
  <c r="B2" i="12" l="1" a="1"/>
  <c r="B2" i="12" s="1"/>
  <c r="AD21" i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0" i="1"/>
  <c r="O21" i="1"/>
  <c r="AD50" i="1"/>
  <c r="AO50" i="1" s="1"/>
  <c r="AE35" i="1"/>
  <c r="F54" i="5" l="1"/>
  <c r="F57" i="5" s="1"/>
  <c r="AN50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O112" i="1"/>
  <c r="G21" i="5" s="1"/>
  <c r="G24" i="5" s="1"/>
  <c r="H68" i="5"/>
  <c r="H47" i="5"/>
  <c r="H50" i="5" s="1"/>
  <c r="H71" i="5" l="1"/>
  <c r="I68" i="5"/>
  <c r="I71" i="5" s="1"/>
  <c r="P112" i="1"/>
  <c r="H21" i="5" s="1"/>
  <c r="H24" i="5" s="1"/>
  <c r="P95" i="1"/>
  <c r="I47" i="5" s="1"/>
  <c r="I50" i="5" s="1"/>
  <c r="J68" i="5" l="1"/>
  <c r="J71" i="5" s="1"/>
  <c r="Q112" i="1"/>
  <c r="I21" i="5" s="1"/>
  <c r="I24" i="5" s="1"/>
  <c r="Q95" i="1"/>
  <c r="J47" i="5" s="1"/>
  <c r="K47" i="5" l="1"/>
  <c r="K50" i="5" s="1"/>
  <c r="J50" i="5"/>
  <c r="K68" i="5"/>
  <c r="K71" i="5" s="1"/>
  <c r="R95" i="1"/>
  <c r="R112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2" i="1"/>
  <c r="K21" i="5" s="1"/>
  <c r="K24" i="5" s="1"/>
  <c r="S95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L21" i="5" s="1"/>
  <c r="L24" i="5" s="1"/>
  <c r="T95" i="1"/>
  <c r="M50" i="5" s="1"/>
  <c r="R47" i="5" l="1"/>
  <c r="Q50" i="5"/>
  <c r="U95" i="1"/>
  <c r="N50" i="5" s="1"/>
  <c r="U112" i="1"/>
  <c r="M21" i="5" s="1"/>
  <c r="M24" i="5" l="1"/>
  <c r="N21" i="5"/>
  <c r="S47" i="5"/>
  <c r="R50" i="5"/>
  <c r="O97" i="1" l="1"/>
  <c r="O21" i="5"/>
  <c r="N24" i="5"/>
  <c r="S50" i="5"/>
  <c r="T47" i="5"/>
  <c r="O111" i="1" l="1"/>
  <c r="M5" i="10"/>
  <c r="H31" i="11" s="1"/>
  <c r="H34" i="11" s="1"/>
  <c r="L5" i="10"/>
  <c r="G31" i="11" s="1"/>
  <c r="G34" i="11" s="1"/>
  <c r="O24" i="5"/>
  <c r="P21" i="5"/>
  <c r="T50" i="5"/>
  <c r="U47" i="5"/>
  <c r="P97" i="1"/>
  <c r="O113" i="1" l="1"/>
  <c r="H28" i="5" s="1"/>
  <c r="H31" i="5" s="1"/>
  <c r="P111" i="1"/>
  <c r="N5" i="10"/>
  <c r="I31" i="11" s="1"/>
  <c r="I34" i="11" s="1"/>
  <c r="Q21" i="5"/>
  <c r="P24" i="5"/>
  <c r="U50" i="5"/>
  <c r="V47" i="5"/>
  <c r="Q97" i="1"/>
  <c r="P113" i="1" l="1"/>
  <c r="I28" i="5" s="1"/>
  <c r="I31" i="5" s="1"/>
  <c r="Q111" i="1"/>
  <c r="O5" i="10"/>
  <c r="J31" i="11" s="1"/>
  <c r="J34" i="11" s="1"/>
  <c r="R21" i="5"/>
  <c r="Q24" i="5"/>
  <c r="W47" i="5"/>
  <c r="V50" i="5"/>
  <c r="R97" i="1"/>
  <c r="Q113" i="1" l="1"/>
  <c r="J28" i="5" s="1"/>
  <c r="J31" i="5" s="1"/>
  <c r="R111" i="1"/>
  <c r="P5" i="10"/>
  <c r="K31" i="11" s="1"/>
  <c r="K34" i="11" s="1"/>
  <c r="R24" i="5"/>
  <c r="S21" i="5"/>
  <c r="X47" i="5"/>
  <c r="W50" i="5"/>
  <c r="S97" i="1"/>
  <c r="T98" i="1"/>
  <c r="R113" i="1" l="1"/>
  <c r="K28" i="5" s="1"/>
  <c r="K31" i="5" s="1"/>
  <c r="S111" i="1"/>
  <c r="Q5" i="10"/>
  <c r="L31" i="11" s="1"/>
  <c r="S24" i="5"/>
  <c r="T21" i="5"/>
  <c r="Y47" i="5"/>
  <c r="X50" i="5"/>
  <c r="T97" i="1"/>
  <c r="U98" i="1"/>
  <c r="S113" i="1" l="1"/>
  <c r="L28" i="5" s="1"/>
  <c r="L34" i="11"/>
  <c r="M31" i="11"/>
  <c r="T111" i="1"/>
  <c r="T113" i="1" s="1"/>
  <c r="R5" i="10"/>
  <c r="U97" i="1"/>
  <c r="V98" i="1"/>
  <c r="V97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1" i="1"/>
  <c r="V113" i="1" s="1"/>
  <c r="T5" i="10"/>
  <c r="U111" i="1"/>
  <c r="U113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O34" i="1" l="1"/>
  <c r="M3" i="10" s="1"/>
  <c r="H45" i="11" s="1"/>
  <c r="H48" i="11" s="1"/>
  <c r="O94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4" i="1"/>
  <c r="I54" i="5" s="1"/>
  <c r="I57" i="5" s="1"/>
  <c r="Q34" i="1" l="1"/>
  <c r="O3" i="10" s="1"/>
  <c r="J45" i="11" s="1"/>
  <c r="J48" i="11" s="1"/>
  <c r="Q94" i="1"/>
  <c r="J54" i="5" s="1"/>
  <c r="J57" i="5" s="1"/>
  <c r="R50" i="1"/>
  <c r="AE50" i="1"/>
  <c r="R94" i="1" l="1"/>
  <c r="K54" i="5" s="1"/>
  <c r="S50" i="1"/>
  <c r="R34" i="1"/>
  <c r="P3" i="10" s="1"/>
  <c r="K45" i="11" s="1"/>
  <c r="K48" i="11" l="1"/>
  <c r="L45" i="11"/>
  <c r="S94" i="1"/>
  <c r="S34" i="1"/>
  <c r="Q3" i="10" s="1"/>
  <c r="T50" i="1"/>
  <c r="K57" i="5"/>
  <c r="L54" i="5"/>
  <c r="M54" i="5" l="1"/>
  <c r="L57" i="5"/>
  <c r="T94" i="1"/>
  <c r="T34" i="1"/>
  <c r="R3" i="10" s="1"/>
  <c r="U50" i="1"/>
  <c r="AF50" i="1" s="1"/>
  <c r="M45" i="11"/>
  <c r="L48" i="11"/>
  <c r="M48" i="11" l="1"/>
  <c r="N45" i="11"/>
  <c r="V50" i="1"/>
  <c r="V94" i="1" s="1"/>
  <c r="U34" i="1"/>
  <c r="S3" i="10" s="1"/>
  <c r="U94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S30" i="1"/>
  <c r="T30" i="1" s="1"/>
  <c r="U30" i="1" s="1"/>
  <c r="V30" i="1" s="1"/>
  <c r="K41" i="5"/>
  <c r="K43" i="5" s="1"/>
  <c r="E3" i="9" s="1" a="1"/>
  <c r="D7" i="12"/>
  <c r="S26" i="1"/>
  <c r="T27" i="1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U27" i="1"/>
  <c r="T26" i="1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V27" i="1"/>
  <c r="V26" i="1" s="1"/>
  <c r="U26" i="1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<sst xmlns="http://schemas.openxmlformats.org/spreadsheetml/2006/main" count="1040" uniqueCount="398">
  <si>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</si>
  <si>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</si>
  <si>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</si>
  <si>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</si>
  <si>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</si>
  <si>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</si>
  <si>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</si>
  <si>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</si>
  <si>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</si>
  <si>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</si>
  <si>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</si>
  <si>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</si>
  <si>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</si>
  <si>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</si>
  <si>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</si>
  <si>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</si>
  <si>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</si>
  <si>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</si>
  <si>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</si>
  <si>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</si>
  <si>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</si>
  <si>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</si>
  <si>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</si>
  <si>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</si>
  <si>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</si>
  <si>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</si>
  <si>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</si>
  <si>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</si>
  <si>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</si>
  <si>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</si>
  <si>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</si>
  <si>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</si>
  <si>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</si>
  <si>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</si>
  <si>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</si>
  <si>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</si>
  <si>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</si>
  <si>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</si>
  <si>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</si>
  <si>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</si>
  <si>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</si>
  <si>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</si>
  <si>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</si>
  <si>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</si>
  <si>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</si>
  <si>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</si>
  <si>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</si>
  <si>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</si>
  <si>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</si>
  <si>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</si>
  <si>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</si>
  <si>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</si>
  <si>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</si>
  <si>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</si>
  <si>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</si>
  <si>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</si>
  <si>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</si>
  <si>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</si>
  <si>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</si>
  <si>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</si>
  <si>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</si>
  <si>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</si>
  <si>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</si>
  <si>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</si>
  <si>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</si>
  <si>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</si>
  <si>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</si>
  <si>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</si>
  <si>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</si>
  <si>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</si>
  <si>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</si>
  <si>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</si>
  <si>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</si>
  <si>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</si>
  <si>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</si>
  <si>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</si>
  <si>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</si>
  <si>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</si>
  <si>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</si>
  <si>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</si>
  <si>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</si>
  <si>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</si>
  <si>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</si>
  <si>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</si>
  <si>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</si>
  <si>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</si>
  <si>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</si>
  <si>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</si>
  <si>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</si>
  <si>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</si>
  <si>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</si>
  <si>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</si>
  <si>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</si>
  <si>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</si>
  <si>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</si>
  <si>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</si>
  <si>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</si>
  <si>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</si>
  <si>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</si>
  <si>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</si>
  <si>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</si>
  <si>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</si>
  <si>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</si>
  <si>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</si>
  <si>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</si>
  <si>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</si>
  <si>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</si>
  <si>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</si>
  <si>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</si>
  <si>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</si>
  <si>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</si>
  <si>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</si>
  <si>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</si>
  <si>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</si>
  <si>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</si>
  <si>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</si>
  <si>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</si>
  <si>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</si>
  <si>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</si>
  <si>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</si>
  <si>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</si>
  <si>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</si>
  <si>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</si>
  <si>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</si>
  <si>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</si>
  <si>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</si>
  <si>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</si>
  <si>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</si>
  <si>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</si>
  <si>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</si>
  <si>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</si>
  <si>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</si>
  <si>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</si>
  <si>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</si>
  <si>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</si>
  <si>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</si>
  <si>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</si>
  <si>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</si>
  <si>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</si>
  <si>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</si>
  <si>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</si>
  <si>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</si>
  <si>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</si>
  <si>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</si>
  <si>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</si>
  <si>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</si>
  <si>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</si>
  <si>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</si>
  <si>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</si>
  <si>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</si>
  <si>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</si>
  <si>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</si>
  <si>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</si>
  <si>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</si>
  <si>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</si>
  <si>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</si>
  <si>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</si>
  <si>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</si>
  <si>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</si>
  <si>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</si>
  <si>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</si>
  <si>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</si>
  <si>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</si>
  <si>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</si>
  <si>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</si>
  <si>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</si>
  <si>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</si>
  <si>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</si>
  <si>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</si>
  <si>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</si>
  <si>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</si>
  <si>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</si>
  <si>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</si>
  <si>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</si>
  <si>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</si>
  <si>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</si>
  <si>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</si>
  <si>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</si>
  <si>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</si>
  <si>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</si>
  <si>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</si>
  <si>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</si>
  <si>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</si>
  <si>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</si>
  <si>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</si>
  <si>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</si>
  <si>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</si>
  <si>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</si>
  <si>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</si>
  <si>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</si>
  <si>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</si>
  <si>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</si>
  <si>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</si>
  <si>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</si>
  <si>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</si>
  <si>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</si>
  <si>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</si>
  <si>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</si>
  <si>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</si>
  <si>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</si>
  <si>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</si>
  <si>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</si>
  <si>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</si>
  <si>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</si>
  <si>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</si>
  <si>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</si>
  <si>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Billions</t>
  </si>
  <si>
    <t>Grants to States</t>
  </si>
  <si>
    <t>BEA Grants Legislation</t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</si>
  <si>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</si>
  <si>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</si>
  <si>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</si>
  <si>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</si>
  <si>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</si>
  <si>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</si>
  <si>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</si>
  <si>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</si>
  <si>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</si>
  <si>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</si>
  <si>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</si>
  <si>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</si>
  <si>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</si>
  <si>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</si>
  <si>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</si>
  <si>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</si>
  <si>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</si>
  <si>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</si>
  <si>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</si>
  <si>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</si>
  <si>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</si>
  <si>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</si>
  <si>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</si>
  <si>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</si>
  <si>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</si>
  <si>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</si>
  <si>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</si>
  <si>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</si>
  <si>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</si>
  <si>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</si>
  <si>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</si>
  <si>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</si>
  <si>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</si>
  <si>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</si>
  <si>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</si>
  <si>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</si>
  <si>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</si>
  <si>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</si>
  <si>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</si>
  <si>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</si>
  <si>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</si>
  <si>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</si>
  <si>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</si>
  <si>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</si>
  <si>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</si>
  <si>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</si>
  <si>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</si>
  <si>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</si>
  <si>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</si>
  <si>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</si>
  <si>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</si>
  <si>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</si>
  <si>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</si>
  <si>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</si>
  <si>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</si>
  <si>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</si>
  <si>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</si>
  <si>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</si>
  <si>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</si>
  <si>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</si>
  <si>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</si>
  <si>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</si>
  <si>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</si>
  <si>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</si>
  <si>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</si>
  <si>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</si>
  <si>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</si>
  <si>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</si>
  <si>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</si>
  <si>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</si>
  <si>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</si>
  <si>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</si>
  <si>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</si>
  <si>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</si>
  <si>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</si>
  <si>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</si>
  <si>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</si>
  <si>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</si>
  <si>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</si>
  <si>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</si>
  <si>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</si>
  <si>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</si>
  <si>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</si>
  <si>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</si>
  <si>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</si>
  <si>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</si>
  <si>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</si>
  <si>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</si>
  <si>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</si>
  <si>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</si>
  <si>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</si>
  <si>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</si>
  <si>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</si>
  <si>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</si>
  <si>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</si>
  <si>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</si>
  <si>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</si>
  <si>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</si>
  <si>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</si>
  <si>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</si>
  <si>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</si>
  <si>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</si>
  <si>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</si>
  <si>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</si>
  <si>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</si>
  <si>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</si>
  <si>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</si>
  <si>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</si>
  <si>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</si>
  <si>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</si>
  <si>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</si>
  <si>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</si>
  <si>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</si>
  <si>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</si>
  <si>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</si>
  <si>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</si>
  <si>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</si>
  <si>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</si>
  <si>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</si>
  <si>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</si>
  <si>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</si>
  <si>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</si>
  <si>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</si>
  <si>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</si>
  <si>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</si>
  <si>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</si>
  <si>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</si>
  <si>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</si>
  <si>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</si>
  <si>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</si>
  <si>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</si>
  <si>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</si>
  <si>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</si>
  <si>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</si>
  <si>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</si>
  <si>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</si>
  <si>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</si>
  <si>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</si>
  <si>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</si>
  <si>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</si>
  <si>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</si>
  <si>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</si>
  <si>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</si>
  <si>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</si>
  <si>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</si>
  <si>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</si>
  <si>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</si>
  <si>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</si>
  <si>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</si>
  <si>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</si>
  <si>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</si>
  <si>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</si>
  <si>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</si>
  <si>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</si>
  <si>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</si>
  <si>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</si>
  <si>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</si>
  <si>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</si>
  <si>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</si>
  <si>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</si>
  <si>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</si>
  <si>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</si>
  <si>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</si>
  <si>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</si>
  <si>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</si>
  <si>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</si>
  <si>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</si>
  <si>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 profit Provider relief</t>
  </si>
  <si>
    <r>
      <rPr>
        <i/>
        <sz val="11"/>
        <color theme="1"/>
        <rFont val="Calibri"/>
        <family val="2"/>
        <scheme val="minor"/>
      </rPr>
      <t>our spending out of</t>
    </r>
    <r>
      <rPr>
        <sz val="11"/>
        <color theme="1"/>
        <rFont val="Calibri"/>
        <family val="2"/>
        <scheme val="minor"/>
      </rPr>
      <t xml:space="preserve"> Grants Legislation</t>
    </r>
  </si>
  <si>
    <t>January</t>
  </si>
  <si>
    <t>February</t>
  </si>
  <si>
    <t>March</t>
  </si>
  <si>
    <t>April</t>
  </si>
  <si>
    <t>PPP disbursements</t>
  </si>
  <si>
    <t>June</t>
  </si>
  <si>
    <t>July</t>
  </si>
  <si>
    <t>August</t>
  </si>
  <si>
    <t>September</t>
  </si>
  <si>
    <t>Boosting BEA's PPP by 325/261 because BEA didn't include all the programs we include in PPP</t>
  </si>
  <si>
    <t>BEA's PPP</t>
  </si>
  <si>
    <t>Quarterly disbursements</t>
  </si>
  <si>
    <t>Boosting quarterly disbursements by 325/261</t>
  </si>
  <si>
    <t>^Going to keep the 650 in Q1 and Q2 instead so that we don't need to change our MPCs to account for monthly timing of PPP within the quarter</t>
  </si>
  <si>
    <t>Payroll for Airline Workers (aviation)</t>
  </si>
  <si>
    <t>add_state_non_corporate_taxes</t>
  </si>
  <si>
    <t>consumption_grants_override</t>
  </si>
  <si>
    <t>federal_ui_override</t>
  </si>
  <si>
    <t>ui_override</t>
  </si>
  <si>
    <t>state_ui_override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</si>
</sst>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8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1"/>
  <sheetViews>
    <sheetView zoomScale="117" zoomScaleNormal="110" workbookViewId="0">
      <pane xSplit="2" ySplit="3" topLeftCell="M43" activePane="bottomRight" state="frozen"/>
      <selection pane="topRight" activeCell="C1" sqref="C1"/>
      <selection pane="bottomLeft" activeCell="A4" sqref="A4"/>
      <selection pane="bottomRight" activeCell="P54" sqref="P54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5" max="35" width="8.83203125" customWidth="1"/>
    <col min="39" max="39" width="8.6640625" style="146"/>
  </cols>
  <sheetData>
    <row r="1" spans="1:43" ht="19" customHeight="1" x14ac:dyDescent="0.25">
      <c r="A1" s="341" t="s">
        <v>365</v>
      </c>
      <c r="B1" s="341"/>
      <c r="C1" s="268"/>
      <c r="D1" s="268"/>
      <c r="E1" s="35"/>
      <c r="N1" t="s">
        <v>367</v>
      </c>
      <c r="AC1" s="347" t="s">
        <v>246</v>
      </c>
      <c r="AD1" s="347"/>
      <c r="AE1" s="345" t="s">
        <v>244</v>
      </c>
      <c r="AF1" s="346"/>
      <c r="AG1" t="s">
        <v>28</v>
      </c>
      <c r="AI1" s="343" t="s">
        <v>276</v>
      </c>
      <c r="AJ1" s="343"/>
      <c r="AK1" s="343"/>
      <c r="AL1" s="343"/>
      <c r="AM1" s="342" t="s">
        <v>274</v>
      </c>
      <c r="AN1" s="342"/>
      <c r="AO1" s="342"/>
      <c r="AP1" s="342"/>
    </row>
    <row r="2" spans="1:43" ht="23" customHeight="1" x14ac:dyDescent="0.2">
      <c r="F2" s="340" t="s">
        <v>21</v>
      </c>
      <c r="G2" s="340"/>
      <c r="H2" s="340"/>
      <c r="I2" s="340"/>
      <c r="J2" s="340" t="s">
        <v>9</v>
      </c>
      <c r="K2" s="340"/>
      <c r="L2" s="340"/>
      <c r="M2" s="340"/>
      <c r="N2" s="340" t="s">
        <v>10</v>
      </c>
      <c r="O2" s="340"/>
      <c r="P2" s="340"/>
      <c r="Q2" s="340"/>
      <c r="R2" s="340" t="s">
        <v>11</v>
      </c>
      <c r="S2" s="340"/>
      <c r="T2" s="340"/>
      <c r="U2" s="340"/>
      <c r="V2" s="340" t="s">
        <v>264</v>
      </c>
      <c r="W2" s="340"/>
      <c r="X2" s="340"/>
      <c r="Y2" s="340"/>
      <c r="Z2" s="221"/>
      <c r="AA2" s="283"/>
      <c r="AB2" s="221"/>
      <c r="AC2" s="340" t="s">
        <v>102</v>
      </c>
      <c r="AD2" s="340"/>
      <c r="AE2" s="340"/>
      <c r="AF2" s="340"/>
      <c r="AG2" s="340"/>
      <c r="AH2" s="340"/>
      <c r="AI2" s="340"/>
      <c r="AJ2" s="340"/>
      <c r="AK2" s="340"/>
      <c r="AL2" s="344"/>
    </row>
    <row r="3" spans="1:43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245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264</v>
      </c>
      <c r="AN3" s="97" t="s">
        <v>12</v>
      </c>
      <c r="AO3" s="97" t="s">
        <v>11</v>
      </c>
      <c r="AP3" s="97" t="s">
        <v>264</v>
      </c>
    </row>
    <row r="4" spans="1:43" ht="19" x14ac:dyDescent="0.25">
      <c r="A4" s="339" t="s">
        <v>260</v>
      </c>
      <c r="B4" s="339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2">
      <c r="A5" t="s">
        <v>258</v>
      </c>
      <c r="B5" t="s">
        <v>278</v>
      </c>
      <c r="C5" s="35" t="s">
        <v>286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15">
      <c r="A6" s="169" t="s">
        <v>213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2">
      <c r="A7" t="s">
        <v>259</v>
      </c>
      <c r="B7" t="s">
        <v>278</v>
      </c>
      <c r="C7" s="35" t="s">
        <v>287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15">
      <c r="A8" s="169" t="s">
        <v>213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2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2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2">
      <c r="A11" s="176" t="s">
        <v>255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2">
      <c r="A12" s="211" t="s">
        <v>25</v>
      </c>
      <c r="B12" t="s">
        <v>278</v>
      </c>
      <c r="C12" t="s">
        <v>288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2">
      <c r="A13" s="212" t="s">
        <v>370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2">
      <c r="A14" s="212" t="s">
        <v>366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2">
      <c r="A15" s="211" t="s">
        <v>26</v>
      </c>
      <c r="B15" t="s">
        <v>278</v>
      </c>
      <c r="C15" t="s">
        <v>289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2">
      <c r="A16" s="212" t="s">
        <v>370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2">
      <c r="A17" s="212" t="s">
        <v>213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2">
      <c r="A18" s="211" t="s">
        <v>27</v>
      </c>
      <c r="B18" t="s">
        <v>278</v>
      </c>
      <c r="C18" t="s">
        <v>290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2">
      <c r="A19" s="212" t="s">
        <v>370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2">
      <c r="A20" s="212" t="s">
        <v>213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2">
      <c r="A21" s="176" t="s">
        <v>0</v>
      </c>
      <c r="B21" t="s">
        <v>278</v>
      </c>
      <c r="C21" t="s">
        <v>291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2">
      <c r="A22" s="177" t="s">
        <v>370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2">
      <c r="A23" s="177" t="s">
        <v>213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2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2">
      <c r="A25" t="s">
        <v>261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2">
      <c r="A26" s="176" t="s">
        <v>262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2">
      <c r="A27" s="211" t="s">
        <v>22</v>
      </c>
      <c r="C27" t="s">
        <v>292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2">
      <c r="A28" s="211" t="s">
        <v>23</v>
      </c>
      <c r="C28" t="s">
        <v>293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2">
      <c r="A29" s="211" t="s">
        <v>24</v>
      </c>
      <c r="C29" t="s">
        <v>294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2">
      <c r="A30" s="176" t="s">
        <v>0</v>
      </c>
      <c r="C30" t="s">
        <v>295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15">
      <c r="A31" s="177" t="s">
        <v>263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2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2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ht="16" x14ac:dyDescent="0.2">
      <c r="A34" s="86" t="s">
        <v>14</v>
      </c>
      <c r="B34" t="s">
        <v>278</v>
      </c>
      <c r="C34" t="s">
        <v>296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O35+O40+O50</f>
        <v>3270456.7169724014</v>
      </c>
      <c r="P34" s="133">
        <f t="shared" si="29"/>
        <v>2708796.7165770018</v>
      </c>
      <c r="Q34" s="133">
        <f t="shared" si="29"/>
        <v>2611509.6718853824</v>
      </c>
      <c r="R34" s="133">
        <f t="shared" si="29"/>
        <v>2678465.9441347551</v>
      </c>
      <c r="S34" s="133">
        <f t="shared" si="29"/>
        <v>2735176.6542439447</v>
      </c>
      <c r="T34" s="133">
        <f t="shared" si="29"/>
        <v>2793300.2519227522</v>
      </c>
      <c r="U34" s="133">
        <f t="shared" si="29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ht="16" x14ac:dyDescent="0.2">
      <c r="A35" s="86" t="s">
        <v>3</v>
      </c>
      <c r="B35" t="s">
        <v>278</v>
      </c>
      <c r="C35" t="s">
        <v>297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ht="16" x14ac:dyDescent="0.2">
      <c r="A36" s="93" t="s">
        <v>333</v>
      </c>
      <c r="B36" t="s">
        <v>278</v>
      </c>
      <c r="C36" t="s">
        <v>298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87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ht="16" x14ac:dyDescent="0.2">
      <c r="A37" s="281" t="s">
        <v>334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275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ht="16" x14ac:dyDescent="0.2">
      <c r="A38" s="281" t="s">
        <v>341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ht="16" x14ac:dyDescent="0.2">
      <c r="A39" s="281" t="s">
        <v>344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ht="16" x14ac:dyDescent="0.2">
      <c r="A40" s="86" t="s">
        <v>141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87">
        <f t="shared" ref="O40:V40" si="30">O42+O46</f>
        <v>724000</v>
      </c>
      <c r="P40" s="87">
        <f t="shared" si="30"/>
        <v>152000</v>
      </c>
      <c r="Q40" s="87">
        <f t="shared" si="30"/>
        <v>44000</v>
      </c>
      <c r="R40" s="87">
        <f t="shared" si="30"/>
        <v>44000</v>
      </c>
      <c r="S40" s="87">
        <f t="shared" si="30"/>
        <v>44000</v>
      </c>
      <c r="T40" s="87">
        <f t="shared" si="30"/>
        <v>44000</v>
      </c>
      <c r="U40" s="87">
        <f t="shared" si="30"/>
        <v>44000</v>
      </c>
      <c r="V40" s="87">
        <f t="shared" si="30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31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ht="16" x14ac:dyDescent="0.2">
      <c r="A41" s="115" t="s">
        <v>327</v>
      </c>
      <c r="B41" t="s">
        <v>278</v>
      </c>
      <c r="C41" t="s">
        <v>299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87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ht="16" x14ac:dyDescent="0.2">
      <c r="A42" s="117" t="s">
        <v>210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87">
        <f>SUM(O43:O45)</f>
        <v>664000</v>
      </c>
      <c r="P42" s="87">
        <f>SUM(P43:P45)</f>
        <v>108000</v>
      </c>
      <c r="Q42" s="87">
        <f t="shared" ref="Q42" si="32">Q43+Q44+Q45</f>
        <v>0</v>
      </c>
      <c r="R42" s="87">
        <f t="shared" ref="R42" si="33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ht="16" x14ac:dyDescent="0.2">
      <c r="A43" s="270" t="s">
        <v>138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87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31"/>
        <v>0</v>
      </c>
      <c r="AG43" s="3"/>
      <c r="AI43" s="3"/>
      <c r="AJ43" s="3"/>
      <c r="AK43" s="3"/>
      <c r="AL43" s="3"/>
      <c r="AM43" s="182"/>
    </row>
    <row r="44" spans="1:39" ht="16" x14ac:dyDescent="0.2">
      <c r="A44" s="270" t="s">
        <v>162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87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2">
      <c r="A45" s="273" t="s">
        <v>339</v>
      </c>
      <c r="F45" s="202"/>
      <c r="G45" s="202"/>
      <c r="H45" s="202"/>
      <c r="I45" s="202"/>
      <c r="J45" s="202"/>
      <c r="K45" s="202"/>
      <c r="L45" s="202"/>
      <c r="M45" s="301"/>
      <c r="N45" s="303"/>
      <c r="O45" s="275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ht="16" x14ac:dyDescent="0.2">
      <c r="A46" s="117" t="s">
        <v>139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87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31"/>
        <v>44</v>
      </c>
      <c r="AG46" s="3"/>
      <c r="AI46" s="3"/>
      <c r="AJ46" s="3"/>
      <c r="AK46" s="3"/>
      <c r="AL46" s="3"/>
      <c r="AM46" s="182"/>
    </row>
    <row r="47" spans="1:39" s="107" customFormat="1" ht="32" x14ac:dyDescent="0.2">
      <c r="A47" s="325" t="s">
        <v>147</v>
      </c>
      <c r="F47" s="326"/>
      <c r="G47" s="326"/>
      <c r="H47" s="326"/>
      <c r="I47" s="326"/>
      <c r="J47" s="326">
        <v>0</v>
      </c>
      <c r="K47" s="326">
        <v>0</v>
      </c>
      <c r="L47" s="326">
        <f>SUM(L48:L49)</f>
        <v>179900</v>
      </c>
      <c r="M47" s="327">
        <v>85400</v>
      </c>
      <c r="N47" s="328">
        <f>SUM(N48:N49)</f>
        <v>45300</v>
      </c>
      <c r="O47" s="329">
        <f>SUM(O48:O49)</f>
        <v>53800</v>
      </c>
      <c r="P47" s="329">
        <f>SUM(P48:P49)</f>
        <v>43000</v>
      </c>
      <c r="Q47" s="329">
        <f>SUM(Q48:Q49)</f>
        <v>43000</v>
      </c>
      <c r="R47" s="329">
        <f>SUM(R48:R49)</f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46.274999999999999</v>
      </c>
      <c r="AF47" s="331">
        <f t="shared" ref="AF47" si="34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ht="16" x14ac:dyDescent="0.2">
      <c r="A48" s="333" t="s">
        <v>205</v>
      </c>
      <c r="B48" s="107" t="s">
        <v>278</v>
      </c>
      <c r="C48" s="107" t="s">
        <v>300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>
        <f>VLOOKUP($C$48,'Haver NA'!$A$1:$J$34,10,0)</f>
        <v>10800</v>
      </c>
      <c r="O48" s="329">
        <v>10800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ht="16" x14ac:dyDescent="0.2">
      <c r="A49" s="333" t="s">
        <v>376</v>
      </c>
      <c r="B49" s="107" t="s">
        <v>278</v>
      </c>
      <c r="C49" s="107" t="s">
        <v>301</v>
      </c>
      <c r="F49" s="326"/>
      <c r="G49" s="326"/>
      <c r="H49" s="326"/>
      <c r="I49" s="326"/>
      <c r="J49" s="326"/>
      <c r="K49" s="326"/>
      <c r="L49" s="326">
        <v>160900</v>
      </c>
      <c r="M49" s="327">
        <v>58400</v>
      </c>
      <c r="N49" s="328">
        <f>VLOOKUP($C$49,'Haver NA'!$A$1:$J$34,10,0)</f>
        <v>34500</v>
      </c>
      <c r="O49" s="329">
        <v>43000</v>
      </c>
      <c r="P49" s="329">
        <v>43000</v>
      </c>
      <c r="Q49" s="329">
        <v>43000</v>
      </c>
      <c r="R49" s="329">
        <v>15000</v>
      </c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ht="32" x14ac:dyDescent="0.2">
      <c r="A50" s="86" t="s">
        <v>149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88">
        <f>N50*(1+O52)</f>
        <v>1663323.8025</v>
      </c>
      <c r="P50" s="88">
        <f t="shared" ref="P50:Q50" si="35">O50*(1+P52)</f>
        <v>1650848.87398125</v>
      </c>
      <c r="Q50" s="88">
        <f t="shared" si="35"/>
        <v>1638467.5074263907</v>
      </c>
      <c r="R50" s="88">
        <f>Q50*(1+R52)</f>
        <v>1663044.5200377863</v>
      </c>
      <c r="S50" s="88">
        <f t="shared" ref="S50:U50" si="36">R50*(1+S52)</f>
        <v>1687990.187838353</v>
      </c>
      <c r="T50" s="88">
        <f t="shared" si="36"/>
        <v>1713310.0406559282</v>
      </c>
      <c r="U50" s="88">
        <f t="shared" si="36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31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15">
      <c r="A51" s="169" t="s">
        <v>213</v>
      </c>
      <c r="C51" s="269"/>
      <c r="D51" s="269"/>
      <c r="F51" s="225"/>
      <c r="G51" s="227">
        <f>G50/F50-1</f>
        <v>4.3899160317375507E-2</v>
      </c>
      <c r="H51" s="227">
        <f t="shared" ref="H51:L51" si="37">H50/G50-1</f>
        <v>3.4867401440725754E-3</v>
      </c>
      <c r="I51" s="227">
        <f t="shared" si="37"/>
        <v>3.5163841628156334E-3</v>
      </c>
      <c r="J51" s="227">
        <f t="shared" si="37"/>
        <v>5.2735975988749129E-3</v>
      </c>
      <c r="K51" s="227">
        <f t="shared" si="37"/>
        <v>3.4509222105193249E-2</v>
      </c>
      <c r="L51" s="227">
        <f t="shared" si="37"/>
        <v>4.7166587697893059E-2</v>
      </c>
      <c r="M51" s="227">
        <v>1.2783825552366457E-2</v>
      </c>
      <c r="N51" s="227">
        <f t="shared" ref="N51" si="38">N50/M50-1</f>
        <v>3.6483389338011207E-3</v>
      </c>
      <c r="O51" s="226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2">
      <c r="A52" s="169" t="s">
        <v>267</v>
      </c>
      <c r="F52" s="207"/>
      <c r="G52" s="207"/>
      <c r="H52" s="207"/>
      <c r="I52" s="207"/>
      <c r="J52" s="200"/>
      <c r="K52" s="200"/>
      <c r="L52" s="200"/>
      <c r="M52" s="301"/>
      <c r="N52" s="302"/>
      <c r="O52" s="175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2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2">
      <c r="A54" s="141" t="s">
        <v>4</v>
      </c>
      <c r="B54" s="141" t="s">
        <v>278</v>
      </c>
      <c r="C54" t="s">
        <v>302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144">
        <f t="shared" ref="O54:Z54" si="39">O55+AVERAGE($H$54:$K$54)</f>
        <v>853250.25</v>
      </c>
      <c r="P54" s="144">
        <f t="shared" si="39"/>
        <v>847383.58333333337</v>
      </c>
      <c r="Q54" s="144">
        <f t="shared" si="39"/>
        <v>107416.91666666667</v>
      </c>
      <c r="R54" s="144">
        <f t="shared" si="39"/>
        <v>102750.25</v>
      </c>
      <c r="S54" s="144">
        <f t="shared" si="39"/>
        <v>77330.25</v>
      </c>
      <c r="T54" s="144">
        <f t="shared" si="39"/>
        <v>77330.25</v>
      </c>
      <c r="U54" s="144">
        <f t="shared" si="39"/>
        <v>77330.25</v>
      </c>
      <c r="V54" s="144">
        <f t="shared" si="39"/>
        <v>77330.25</v>
      </c>
      <c r="W54" s="144">
        <f t="shared" si="39"/>
        <v>74830.25</v>
      </c>
      <c r="X54" s="144">
        <f t="shared" si="39"/>
        <v>74830.25</v>
      </c>
      <c r="Y54" s="144">
        <f t="shared" si="39"/>
        <v>74830.25</v>
      </c>
      <c r="Z54" s="144">
        <f t="shared" si="39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ht="16" x14ac:dyDescent="0.2">
      <c r="A55" s="134" t="s">
        <v>200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40">N57+N58+N63</f>
        <v>473700</v>
      </c>
      <c r="O55" s="116">
        <f>O57+O58+SUM(O63:O66)</f>
        <v>778420</v>
      </c>
      <c r="P55" s="116">
        <f t="shared" ref="P55:V55" si="41">P57+P58+SUM(P63:P66)</f>
        <v>772553.33333333337</v>
      </c>
      <c r="Q55" s="116">
        <f t="shared" si="41"/>
        <v>32586.666666666672</v>
      </c>
      <c r="R55" s="116">
        <f t="shared" si="41"/>
        <v>27920</v>
      </c>
      <c r="S55" s="116">
        <f t="shared" si="41"/>
        <v>2500</v>
      </c>
      <c r="T55" s="116">
        <f t="shared" si="41"/>
        <v>2500</v>
      </c>
      <c r="U55" s="116">
        <f t="shared" si="41"/>
        <v>2500</v>
      </c>
      <c r="V55" s="116">
        <f t="shared" si="41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ht="16" x14ac:dyDescent="0.2">
      <c r="A56" s="219" t="s">
        <v>331</v>
      </c>
      <c r="F56" s="197"/>
      <c r="G56" s="197"/>
      <c r="H56" s="197"/>
      <c r="I56" s="202"/>
      <c r="J56" s="202"/>
      <c r="K56" s="202"/>
      <c r="L56" s="202"/>
      <c r="M56" s="303"/>
      <c r="N56" s="308"/>
      <c r="O56" s="116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ht="16" x14ac:dyDescent="0.2">
      <c r="A57" s="271" t="s">
        <v>329</v>
      </c>
      <c r="C57" t="s">
        <v>303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116"/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2">
      <c r="A58" s="113" t="s">
        <v>270</v>
      </c>
      <c r="C58" t="s">
        <v>328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116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2">
      <c r="A59" s="272" t="s">
        <v>279</v>
      </c>
      <c r="B59" s="185" t="s">
        <v>278</v>
      </c>
      <c r="C59" t="s">
        <v>304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2">
      <c r="A60" s="272" t="s">
        <v>280</v>
      </c>
      <c r="B60" s="185" t="s">
        <v>278</v>
      </c>
      <c r="C60" t="s">
        <v>305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2">
      <c r="A61" s="272" t="s">
        <v>281</v>
      </c>
      <c r="B61" s="185" t="s">
        <v>278</v>
      </c>
      <c r="C61" t="s">
        <v>306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ht="16" x14ac:dyDescent="0.2">
      <c r="A62" s="219" t="s">
        <v>332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ht="16" x14ac:dyDescent="0.2">
      <c r="A63" s="273" t="s">
        <v>330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'Stimulus Round 2'!$C$2*4/2 -O48</f>
        <v>639200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16" x14ac:dyDescent="0.2">
      <c r="A64" s="273" t="s">
        <v>392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v>38000</v>
      </c>
      <c r="P64" s="279">
        <f>'Stimulus Round 2'!$C$12*4/3</f>
        <v>21333.333333333332</v>
      </c>
      <c r="Q64" s="279">
        <f>('Stimulus Round 2'!$C$12*4-SUM(O64:P64))</f>
        <v>4666.6666666666715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ht="16" x14ac:dyDescent="0.2">
      <c r="A65" s="273" t="s">
        <v>280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v>73300</v>
      </c>
      <c r="P65" s="279">
        <v>73300</v>
      </c>
      <c r="Q65" s="279"/>
      <c r="R65" s="279"/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ht="16" x14ac:dyDescent="0.2">
      <c r="A66" s="273" t="s">
        <v>345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2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2">
      <c r="A68" s="35" t="s">
        <v>16</v>
      </c>
      <c r="B68" s="35" t="s">
        <v>278</v>
      </c>
      <c r="C68" t="s">
        <v>307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308">
        <f>783900</f>
        <v>783900</v>
      </c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2">
      <c r="C69"/>
      <c r="D69"/>
      <c r="F69" s="197"/>
      <c r="G69" s="197"/>
      <c r="H69" s="197"/>
      <c r="I69" s="202"/>
      <c r="J69" s="202"/>
      <c r="K69" s="202"/>
      <c r="L69" s="202">
        <f>L72-L75-L76-L77</f>
        <v>600300</v>
      </c>
      <c r="M69" s="301"/>
      <c r="N69" s="308"/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2">
      <c r="A70" s="35" t="s">
        <v>226</v>
      </c>
      <c r="F70" s="203">
        <f t="shared" ref="F70:L70" si="42">F68-F93</f>
        <v>196851</v>
      </c>
      <c r="G70" s="203">
        <f t="shared" si="42"/>
        <v>189684</v>
      </c>
      <c r="H70" s="203">
        <f t="shared" si="42"/>
        <v>192875</v>
      </c>
      <c r="I70" s="203">
        <f t="shared" si="42"/>
        <v>191507</v>
      </c>
      <c r="J70" s="203">
        <f t="shared" si="42"/>
        <v>203997</v>
      </c>
      <c r="K70" s="203">
        <f t="shared" si="42"/>
        <v>204376</v>
      </c>
      <c r="L70" s="203">
        <f t="shared" si="42"/>
        <v>884250</v>
      </c>
      <c r="M70" s="301">
        <v>242100</v>
      </c>
      <c r="N70" s="308">
        <f>N68-N93</f>
        <v>225951</v>
      </c>
      <c r="O70" s="308">
        <f>O68-O93</f>
        <v>276422.75188174885</v>
      </c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2">
      <c r="A71" s="136" t="s">
        <v>227</v>
      </c>
      <c r="F71" s="197"/>
      <c r="G71" s="197"/>
      <c r="H71" s="197"/>
      <c r="I71" s="202"/>
      <c r="J71" s="202"/>
      <c r="K71" s="202"/>
      <c r="L71" s="202">
        <f>L70-L72</f>
        <v>193550</v>
      </c>
      <c r="M71" s="303">
        <v>203600</v>
      </c>
      <c r="N71" s="308">
        <f>N70-N72</f>
        <v>196951</v>
      </c>
      <c r="O71" s="116">
        <f t="shared" ref="O71:Z71" si="43">N71*(1+O87)</f>
        <v>197738.804</v>
      </c>
      <c r="P71" s="116">
        <f t="shared" si="43"/>
        <v>198529.75921600001</v>
      </c>
      <c r="Q71" s="116">
        <f t="shared" si="43"/>
        <v>199323.878252864</v>
      </c>
      <c r="R71" s="116">
        <f t="shared" si="43"/>
        <v>200121.17376587546</v>
      </c>
      <c r="S71" s="116">
        <f t="shared" si="43"/>
        <v>200921.65846093895</v>
      </c>
      <c r="T71" s="116">
        <f t="shared" si="43"/>
        <v>201725.34509478271</v>
      </c>
      <c r="U71" s="116">
        <f t="shared" si="43"/>
        <v>202532.24647516184</v>
      </c>
      <c r="V71" s="116">
        <f t="shared" si="43"/>
        <v>203342.37546106247</v>
      </c>
      <c r="W71" s="116">
        <f t="shared" si="43"/>
        <v>204155.74496290673</v>
      </c>
      <c r="X71" s="116">
        <f t="shared" si="43"/>
        <v>204972.36794275834</v>
      </c>
      <c r="Y71" s="116">
        <f t="shared" si="43"/>
        <v>205792.25741452936</v>
      </c>
      <c r="Z71" s="116">
        <f t="shared" si="43"/>
        <v>206615.42644418747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2">
      <c r="A72" s="137" t="s">
        <v>208</v>
      </c>
      <c r="B72" s="138" t="s">
        <v>278</v>
      </c>
      <c r="C72" t="s">
        <v>308</v>
      </c>
      <c r="D72"/>
      <c r="F72" s="204"/>
      <c r="G72" s="204"/>
      <c r="H72" s="204"/>
      <c r="I72" s="205"/>
      <c r="J72" s="205"/>
      <c r="K72" s="205"/>
      <c r="L72" s="205">
        <f>'Haver NA'!H34</f>
        <v>690700</v>
      </c>
      <c r="M72" s="205">
        <f>'Haver NA'!I34</f>
        <v>39200</v>
      </c>
      <c r="N72" s="205">
        <f>VLOOKUP($C$72,'Haver NA'!$A$1:$J$34,10,0)</f>
        <v>29000</v>
      </c>
      <c r="O72" s="139">
        <f>28900 + 17100</f>
        <v>46000</v>
      </c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ht="16" x14ac:dyDescent="0.2">
      <c r="A73" s="134" t="s">
        <v>377</v>
      </c>
      <c r="F73" s="197"/>
      <c r="G73" s="197"/>
      <c r="H73" s="197"/>
      <c r="I73" s="202"/>
      <c r="J73" s="202"/>
      <c r="K73" s="202"/>
      <c r="L73" s="206">
        <f>SUM(L75:L77)</f>
        <v>90400</v>
      </c>
      <c r="M73" s="206">
        <f>SUM(M75:M77)</f>
        <v>87800</v>
      </c>
      <c r="N73" s="206">
        <f>SUM(N75:N77)</f>
        <v>97200</v>
      </c>
      <c r="O73" s="116">
        <f t="shared" ref="O73:Z73" si="44">O74+O78</f>
        <v>124900</v>
      </c>
      <c r="P73" s="116">
        <f t="shared" si="44"/>
        <v>126000</v>
      </c>
      <c r="Q73" s="116">
        <f t="shared" si="44"/>
        <v>120000</v>
      </c>
      <c r="R73" s="116">
        <f t="shared" si="44"/>
        <v>119000</v>
      </c>
      <c r="S73" s="116">
        <f t="shared" si="44"/>
        <v>109000</v>
      </c>
      <c r="T73" s="116">
        <f t="shared" si="44"/>
        <v>109000</v>
      </c>
      <c r="U73" s="116">
        <f t="shared" si="44"/>
        <v>109000</v>
      </c>
      <c r="V73" s="116">
        <f t="shared" si="44"/>
        <v>109000</v>
      </c>
      <c r="W73" s="116">
        <f t="shared" si="44"/>
        <v>109000</v>
      </c>
      <c r="X73" s="116">
        <f t="shared" si="44"/>
        <v>69000</v>
      </c>
      <c r="Y73" s="116">
        <f t="shared" si="44"/>
        <v>59000</v>
      </c>
      <c r="Z73" s="116">
        <f t="shared" si="44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ht="16" x14ac:dyDescent="0.2">
      <c r="A74" s="219" t="s">
        <v>335</v>
      </c>
      <c r="F74" s="197"/>
      <c r="G74" s="197"/>
      <c r="H74" s="197"/>
      <c r="I74" s="202"/>
      <c r="J74" s="202"/>
      <c r="K74" s="202"/>
      <c r="L74" s="206"/>
      <c r="M74" s="301"/>
      <c r="N74" s="308"/>
      <c r="O74" s="116">
        <f t="shared" ref="O74:Z74" si="45">SUM(O75:O77)</f>
        <v>72900</v>
      </c>
      <c r="P74" s="116">
        <f t="shared" si="45"/>
        <v>67000</v>
      </c>
      <c r="Q74" s="116">
        <f t="shared" si="45"/>
        <v>61000</v>
      </c>
      <c r="R74" s="116">
        <f t="shared" si="45"/>
        <v>60000</v>
      </c>
      <c r="S74" s="116">
        <f t="shared" si="45"/>
        <v>50000</v>
      </c>
      <c r="T74" s="116">
        <f t="shared" si="45"/>
        <v>50000</v>
      </c>
      <c r="U74" s="116">
        <f t="shared" si="45"/>
        <v>50000</v>
      </c>
      <c r="V74" s="116">
        <f t="shared" si="45"/>
        <v>50000</v>
      </c>
      <c r="W74" s="116">
        <f t="shared" si="45"/>
        <v>50000</v>
      </c>
      <c r="X74" s="116">
        <f t="shared" si="45"/>
        <v>10000</v>
      </c>
      <c r="Y74" s="116">
        <f t="shared" si="45"/>
        <v>0</v>
      </c>
      <c r="Z74" s="116">
        <f t="shared" si="45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2">
      <c r="A75" s="113" t="s">
        <v>197</v>
      </c>
      <c r="B75" s="35" t="s">
        <v>278</v>
      </c>
      <c r="C75" s="35" t="s">
        <v>371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116">
        <v>50000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>
        <v>10000</v>
      </c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107" customFormat="1" x14ac:dyDescent="0.2">
      <c r="A76" s="334" t="s">
        <v>375</v>
      </c>
      <c r="B76" s="107" t="s">
        <v>278</v>
      </c>
      <c r="C76" s="107" t="s">
        <v>372</v>
      </c>
      <c r="F76" s="335"/>
      <c r="G76" s="335"/>
      <c r="H76" s="335"/>
      <c r="I76" s="326"/>
      <c r="J76" s="326"/>
      <c r="K76" s="326"/>
      <c r="L76" s="326">
        <v>28400</v>
      </c>
      <c r="M76" s="327">
        <v>15800</v>
      </c>
      <c r="N76" s="336">
        <v>15200</v>
      </c>
      <c r="O76" s="337">
        <v>10900</v>
      </c>
      <c r="P76" s="337">
        <v>10000</v>
      </c>
      <c r="Q76" s="337">
        <v>4000</v>
      </c>
      <c r="R76" s="337">
        <v>4000</v>
      </c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  <c r="AM76" s="338"/>
    </row>
    <row r="77" spans="1:39" s="107" customFormat="1" x14ac:dyDescent="0.2">
      <c r="A77" s="334" t="s">
        <v>201</v>
      </c>
      <c r="B77" s="107" t="s">
        <v>278</v>
      </c>
      <c r="C77" s="107" t="s">
        <v>373</v>
      </c>
      <c r="F77" s="335"/>
      <c r="G77" s="335"/>
      <c r="H77" s="335"/>
      <c r="I77" s="326"/>
      <c r="J77" s="326"/>
      <c r="K77" s="326"/>
      <c r="L77" s="326">
        <v>27000</v>
      </c>
      <c r="M77" s="327">
        <v>27000</v>
      </c>
      <c r="N77" s="336">
        <v>22000</v>
      </c>
      <c r="O77" s="337">
        <v>12000</v>
      </c>
      <c r="P77" s="337">
        <v>7000</v>
      </c>
      <c r="Q77" s="337">
        <v>7000</v>
      </c>
      <c r="R77" s="337">
        <v>6000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35" customFormat="1" x14ac:dyDescent="0.2">
      <c r="A78" s="220" t="s">
        <v>336</v>
      </c>
      <c r="F78" s="197"/>
      <c r="G78" s="197"/>
      <c r="H78" s="197"/>
      <c r="I78" s="202"/>
      <c r="J78" s="202"/>
      <c r="K78" s="202"/>
      <c r="L78" s="202"/>
      <c r="M78" s="301"/>
      <c r="N78" s="308"/>
      <c r="O78" s="116">
        <f>SUM(O79:O82)</f>
        <v>52000</v>
      </c>
      <c r="P78" s="116">
        <f t="shared" ref="P78:Z78" si="46">SUM(P79:P82)</f>
        <v>59000</v>
      </c>
      <c r="Q78" s="116">
        <f t="shared" si="46"/>
        <v>59000</v>
      </c>
      <c r="R78" s="116">
        <f t="shared" si="46"/>
        <v>59000</v>
      </c>
      <c r="S78" s="116">
        <f t="shared" si="46"/>
        <v>59000</v>
      </c>
      <c r="T78" s="116">
        <f t="shared" si="46"/>
        <v>59000</v>
      </c>
      <c r="U78" s="116">
        <f t="shared" si="46"/>
        <v>59000</v>
      </c>
      <c r="V78" s="116">
        <f t="shared" si="46"/>
        <v>59000</v>
      </c>
      <c r="W78" s="116">
        <f t="shared" si="46"/>
        <v>59000</v>
      </c>
      <c r="X78" s="116">
        <f t="shared" si="46"/>
        <v>59000</v>
      </c>
      <c r="Y78" s="116">
        <f t="shared" si="46"/>
        <v>59000</v>
      </c>
      <c r="Z78" s="116">
        <f t="shared" si="46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2">
      <c r="A79" s="282" t="s">
        <v>337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2">
      <c r="A80" s="282" t="s">
        <v>338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2'!$C$5*4/12 - 7000</f>
        <v>20333.333333333332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>
        <v>7000</v>
      </c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2">
      <c r="A81" s="282" t="s">
        <v>342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7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2">
      <c r="A82" s="282" t="s">
        <v>343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7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2">
      <c r="A83" s="145" t="s">
        <v>215</v>
      </c>
      <c r="B83" s="141"/>
      <c r="E83" s="141"/>
      <c r="F83" s="197"/>
      <c r="G83" s="197"/>
      <c r="H83" s="197"/>
      <c r="I83" s="202"/>
      <c r="J83" s="202"/>
      <c r="K83" s="202">
        <f>K68-K93</f>
        <v>204376</v>
      </c>
      <c r="L83" s="206">
        <f t="shared" ref="L83:Z83" si="47">L71+L73</f>
        <v>283950</v>
      </c>
      <c r="M83" s="206">
        <f t="shared" si="47"/>
        <v>291400</v>
      </c>
      <c r="N83" s="308">
        <f t="shared" si="47"/>
        <v>294151</v>
      </c>
      <c r="O83" s="144">
        <f t="shared" si="47"/>
        <v>322638.804</v>
      </c>
      <c r="P83" s="144">
        <f t="shared" si="47"/>
        <v>324529.75921599998</v>
      </c>
      <c r="Q83" s="144">
        <f t="shared" si="47"/>
        <v>319323.878252864</v>
      </c>
      <c r="R83" s="144">
        <f t="shared" si="47"/>
        <v>319121.17376587546</v>
      </c>
      <c r="S83" s="144">
        <f t="shared" si="47"/>
        <v>309921.65846093895</v>
      </c>
      <c r="T83" s="144">
        <f t="shared" si="47"/>
        <v>310725.34509478271</v>
      </c>
      <c r="U83" s="144">
        <f t="shared" si="47"/>
        <v>311532.24647516187</v>
      </c>
      <c r="V83" s="144">
        <f t="shared" si="47"/>
        <v>312342.37546106247</v>
      </c>
      <c r="W83" s="144">
        <f t="shared" si="47"/>
        <v>313155.7449629067</v>
      </c>
      <c r="X83" s="144">
        <f t="shared" si="47"/>
        <v>273972.36794275837</v>
      </c>
      <c r="Y83" s="144">
        <f t="shared" si="47"/>
        <v>264792.25741452933</v>
      </c>
      <c r="Z83" s="144">
        <f t="shared" si="47"/>
        <v>265615.42644418747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2">
      <c r="F84" s="197"/>
      <c r="G84" s="197"/>
      <c r="H84" s="197"/>
      <c r="I84" s="197"/>
      <c r="J84" s="197"/>
      <c r="K84" s="197"/>
      <c r="L84" s="203"/>
      <c r="M84" s="301"/>
      <c r="N84" s="310"/>
      <c r="O84" s="135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2">
      <c r="A85" s="35" t="s">
        <v>17</v>
      </c>
      <c r="B85" s="35" t="s">
        <v>278</v>
      </c>
      <c r="C85" t="s">
        <v>309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1333.307</v>
      </c>
      <c r="O85" s="116"/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2">
      <c r="A86" s="114" t="s">
        <v>203</v>
      </c>
      <c r="B86" s="35" t="s">
        <v>278</v>
      </c>
      <c r="C86" t="s">
        <v>310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1493.5530000000001</v>
      </c>
      <c r="O86">
        <v>1504.3514552807801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2">
      <c r="A87" s="114" t="s">
        <v>374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-1.3676540090014067E-3</v>
      </c>
      <c r="O87" s="196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15">
      <c r="A88" s="169" t="s">
        <v>202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4.3832189558417056E-3</v>
      </c>
      <c r="O88" s="196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2">
      <c r="A89" s="114" t="s">
        <v>350</v>
      </c>
      <c r="F89" s="207"/>
      <c r="G89" s="207"/>
      <c r="H89" s="207"/>
      <c r="I89" s="207"/>
      <c r="J89" s="207"/>
      <c r="K89" s="207"/>
      <c r="L89" s="207"/>
      <c r="M89" s="302"/>
      <c r="N89" s="311"/>
      <c r="O89" s="102">
        <f>SUM(O90:O92)</f>
        <v>71400</v>
      </c>
      <c r="P89" s="102">
        <f t="shared" ref="P89:R89" si="48">SUM(P90:P92)</f>
        <v>71400</v>
      </c>
      <c r="Q89" s="102">
        <f t="shared" si="48"/>
        <v>30600</v>
      </c>
      <c r="R89" s="102">
        <f t="shared" si="48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2">
      <c r="A90" s="284" t="s">
        <v>346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7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2">
      <c r="A91" s="284" t="s">
        <v>347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7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2">
      <c r="A92" s="284" t="s">
        <v>348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7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2">
      <c r="A93" s="35" t="s">
        <v>204</v>
      </c>
      <c r="B93" s="35" t="s">
        <v>278</v>
      </c>
      <c r="C93" t="s">
        <v>311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>
        <f>VLOOKUP($C$93,'Haver NA'!$A$1:$J$34,10,0)</f>
        <v>512193</v>
      </c>
      <c r="O93" s="116">
        <f t="shared" ref="O93:S93" si="49">O100*0.74</f>
        <v>507477.24811825115</v>
      </c>
      <c r="P93" s="116">
        <f t="shared" si="49"/>
        <v>512541.31638321205</v>
      </c>
      <c r="Q93" s="116">
        <f t="shared" si="49"/>
        <v>512541.31638321205</v>
      </c>
      <c r="R93" s="116">
        <f t="shared" si="49"/>
        <v>512541.31638321205</v>
      </c>
      <c r="S93" s="116">
        <f t="shared" si="49"/>
        <v>512541.31638321205</v>
      </c>
      <c r="T93" s="116">
        <f>T100*0.68</f>
        <v>470983.91235214088</v>
      </c>
      <c r="U93" s="116">
        <f>U100*0.68</f>
        <v>470983.91235214088</v>
      </c>
      <c r="V93" s="116">
        <f>V100*0.68</f>
        <v>470983.91235214088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511188.22022116883</v>
      </c>
      <c r="AF93" s="45">
        <f>AVERAGE(R93:U93)</f>
        <v>491762.61436767643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2">
      <c r="A94" s="141" t="s">
        <v>161</v>
      </c>
      <c r="B94" s="141"/>
      <c r="E94" s="141"/>
      <c r="F94" s="201">
        <f t="shared" ref="F94:L94" si="50">F50+F47+F36+F42</f>
        <v>1440187</v>
      </c>
      <c r="G94" s="201">
        <f t="shared" si="50"/>
        <v>1503410</v>
      </c>
      <c r="H94" s="201">
        <f t="shared" si="50"/>
        <v>1508652</v>
      </c>
      <c r="I94" s="201">
        <f t="shared" si="50"/>
        <v>1513957</v>
      </c>
      <c r="J94" s="201">
        <f t="shared" si="50"/>
        <v>1521941</v>
      </c>
      <c r="K94" s="201">
        <f t="shared" si="50"/>
        <v>1574462</v>
      </c>
      <c r="L94" s="201">
        <f t="shared" si="50"/>
        <v>3729557.333333333</v>
      </c>
      <c r="M94" s="301">
        <v>2466001</v>
      </c>
      <c r="N94" s="306">
        <f>N50+N47+N36+N42+N37</f>
        <v>2027793</v>
      </c>
      <c r="O94" s="142">
        <f t="shared" ref="O94:Z94" si="51">O50+O47+O36+O42+O37+O38+O39</f>
        <v>3118123.8025000002</v>
      </c>
      <c r="P94" s="142">
        <f t="shared" si="51"/>
        <v>1874848.87398125</v>
      </c>
      <c r="Q94" s="142">
        <f t="shared" si="51"/>
        <v>1686467.5074263907</v>
      </c>
      <c r="R94" s="142">
        <f t="shared" si="51"/>
        <v>1683044.5200377863</v>
      </c>
      <c r="S94" s="142">
        <f t="shared" si="51"/>
        <v>1687990.187838353</v>
      </c>
      <c r="T94" s="142">
        <f t="shared" si="51"/>
        <v>1713310.0406559282</v>
      </c>
      <c r="U94" s="142">
        <f t="shared" si="51"/>
        <v>1739009.691265767</v>
      </c>
      <c r="V94" s="142">
        <f t="shared" si="51"/>
        <v>1756399.7881784246</v>
      </c>
      <c r="W94" s="142">
        <f t="shared" si="51"/>
        <v>0</v>
      </c>
      <c r="X94" s="142">
        <f t="shared" si="51"/>
        <v>0</v>
      </c>
      <c r="Y94" s="142">
        <f t="shared" si="51"/>
        <v>0</v>
      </c>
      <c r="Z94" s="142">
        <f t="shared" si="51"/>
        <v>0</v>
      </c>
      <c r="AM94" s="233"/>
    </row>
    <row r="95" spans="1:39" s="35" customFormat="1" x14ac:dyDescent="0.2">
      <c r="A95" s="141" t="s">
        <v>212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52">N93+N35</f>
        <v>1372787</v>
      </c>
      <c r="O95" s="143">
        <f t="shared" si="52"/>
        <v>1390610.1625906522</v>
      </c>
      <c r="P95" s="143">
        <f t="shared" si="52"/>
        <v>1418489.158978964</v>
      </c>
      <c r="Q95" s="143">
        <f t="shared" si="52"/>
        <v>1441583.4808422038</v>
      </c>
      <c r="R95" s="143">
        <f t="shared" si="52"/>
        <v>1483962.7404801806</v>
      </c>
      <c r="S95" s="143">
        <f t="shared" si="52"/>
        <v>1515727.7827888038</v>
      </c>
      <c r="T95" s="143">
        <f t="shared" si="52"/>
        <v>1506974.123618965</v>
      </c>
      <c r="U95" s="143">
        <f t="shared" si="52"/>
        <v>1540850.5361376633</v>
      </c>
      <c r="V95" s="143">
        <f t="shared" si="52"/>
        <v>1551631.6801380017</v>
      </c>
      <c r="W95" s="143">
        <f t="shared" si="52"/>
        <v>1091537.5543621723</v>
      </c>
      <c r="X95" s="143">
        <f t="shared" si="52"/>
        <v>1102537.0783156503</v>
      </c>
      <c r="Y95" s="143">
        <f t="shared" si="52"/>
        <v>1113647.4454798999</v>
      </c>
      <c r="Z95" s="143">
        <f t="shared" si="52"/>
        <v>0</v>
      </c>
      <c r="AM95" s="233"/>
    </row>
    <row r="96" spans="1:39" s="35" customFormat="1" x14ac:dyDescent="0.2">
      <c r="F96" s="197"/>
      <c r="G96" s="197"/>
      <c r="H96" s="197"/>
      <c r="I96" s="197"/>
      <c r="J96" s="197"/>
      <c r="K96" s="197"/>
      <c r="L96" s="197"/>
      <c r="M96" s="301"/>
      <c r="N96" s="301"/>
      <c r="AM96" s="233"/>
    </row>
    <row r="97" spans="1:39" s="35" customFormat="1" x14ac:dyDescent="0.2">
      <c r="A97" s="35" t="s">
        <v>15</v>
      </c>
      <c r="B97" s="35" t="s">
        <v>278</v>
      </c>
      <c r="C97" t="s">
        <v>312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>
        <f>VLOOKUP($C$97,'Haver NA'!$A$1:$J$34,10,0)</f>
        <v>818740</v>
      </c>
      <c r="O97" s="133">
        <f t="shared" ref="O97:U97" si="53">O98+O100</f>
        <v>831250.83502466371</v>
      </c>
      <c r="P97" s="133">
        <f t="shared" si="53"/>
        <v>838457.84744285408</v>
      </c>
      <c r="Q97" s="133">
        <f t="shared" si="53"/>
        <v>839187.01967747905</v>
      </c>
      <c r="R97" s="133">
        <f t="shared" si="53"/>
        <v>840286.24682117626</v>
      </c>
      <c r="S97" s="133">
        <f t="shared" si="53"/>
        <v>841762.8752842095</v>
      </c>
      <c r="T97" s="133">
        <f t="shared" si="53"/>
        <v>843107.97501111636</v>
      </c>
      <c r="U97" s="133">
        <f t="shared" si="53"/>
        <v>844539.45728929248</v>
      </c>
      <c r="V97" s="133">
        <f t="shared" ref="V97" si="54">V98+V100</f>
        <v>846032.64138980373</v>
      </c>
      <c r="AM97" s="233"/>
    </row>
    <row r="98" spans="1:39" s="35" customFormat="1" x14ac:dyDescent="0.2">
      <c r="A98" s="35" t="s">
        <v>228</v>
      </c>
      <c r="F98" s="203">
        <f t="shared" ref="F98:K98" si="55">F97-F100</f>
        <v>139025</v>
      </c>
      <c r="G98" s="203">
        <f t="shared" si="55"/>
        <v>139342</v>
      </c>
      <c r="H98" s="203">
        <f t="shared" si="55"/>
        <v>140228</v>
      </c>
      <c r="I98" s="203">
        <f t="shared" si="55"/>
        <v>141105</v>
      </c>
      <c r="J98" s="203">
        <f t="shared" si="55"/>
        <v>141335</v>
      </c>
      <c r="K98" s="203">
        <f t="shared" si="55"/>
        <v>142991</v>
      </c>
      <c r="L98" s="203">
        <f>L97-L100</f>
        <v>143335</v>
      </c>
      <c r="M98" s="301">
        <v>144777</v>
      </c>
      <c r="N98" s="303">
        <f>N97-N100</f>
        <v>145108</v>
      </c>
      <c r="O98" s="133">
        <f>N98*(1+O110)</f>
        <v>145470.76999999999</v>
      </c>
      <c r="P98" s="133">
        <f t="shared" ref="P98:S98" si="56">O98*(1+P110)</f>
        <v>145834.44692499997</v>
      </c>
      <c r="Q98" s="133">
        <f t="shared" si="56"/>
        <v>146563.61915962494</v>
      </c>
      <c r="R98" s="133">
        <f t="shared" si="56"/>
        <v>147662.84630332215</v>
      </c>
      <c r="S98" s="133">
        <f t="shared" si="56"/>
        <v>149139.47476635536</v>
      </c>
      <c r="T98" s="133">
        <f t="shared" ref="T98:V98" si="57">S98*(1+T109)</f>
        <v>150484.57449326222</v>
      </c>
      <c r="U98" s="133">
        <f t="shared" si="57"/>
        <v>151916.05677143831</v>
      </c>
      <c r="V98" s="133">
        <f t="shared" si="57"/>
        <v>153409.24087194959</v>
      </c>
      <c r="AM98" s="233"/>
    </row>
    <row r="99" spans="1:39" s="35" customFormat="1" x14ac:dyDescent="0.2">
      <c r="F99" s="203"/>
      <c r="G99" s="197"/>
      <c r="H99" s="197"/>
      <c r="I99" s="197"/>
      <c r="J99" s="197"/>
      <c r="K99" s="197"/>
      <c r="L99" s="197"/>
      <c r="M99" s="301"/>
      <c r="N99" s="301"/>
      <c r="AM99" s="233"/>
    </row>
    <row r="100" spans="1:39" s="35" customFormat="1" x14ac:dyDescent="0.2">
      <c r="A100" s="35" t="s">
        <v>225</v>
      </c>
      <c r="B100" s="35" t="s">
        <v>278</v>
      </c>
      <c r="C100" t="s">
        <v>313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>
        <f>VLOOKUP($C$100,'Haver NA'!$A$1:$J$34,10,0)</f>
        <v>673632</v>
      </c>
      <c r="O100" s="135">
        <f>N100*(($AJ$100/$AI$100)^0.18)</f>
        <v>685780.06502466369</v>
      </c>
      <c r="P100" s="135">
        <f>O100*(($AJ$100/$AI$100)^0.1)</f>
        <v>692623.40051785414</v>
      </c>
      <c r="Q100" s="135">
        <f>P100*(1+Q101)</f>
        <v>692623.40051785414</v>
      </c>
      <c r="R100" s="135">
        <f t="shared" ref="R100:V100" si="58">Q100*(1+R101)</f>
        <v>692623.40051785414</v>
      </c>
      <c r="S100" s="135">
        <f t="shared" si="58"/>
        <v>692623.40051785414</v>
      </c>
      <c r="T100" s="135">
        <f t="shared" si="58"/>
        <v>692623.40051785414</v>
      </c>
      <c r="U100" s="135">
        <f t="shared" si="58"/>
        <v>692623.40051785414</v>
      </c>
      <c r="V100" s="135">
        <f t="shared" si="58"/>
        <v>692623.40051785414</v>
      </c>
      <c r="AD100" s="45">
        <f>AVERAGE(J100:M100)/1000</f>
        <v>649.06349999999998</v>
      </c>
      <c r="AE100" s="45">
        <f>AVERAGE(N100:Q100)/1000</f>
        <v>686.16471651509301</v>
      </c>
      <c r="AF100" s="45">
        <f>AVERAGE(R100:U100)/1000</f>
        <v>692.62340051785418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2">
      <c r="A101" s="169" t="s">
        <v>267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175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15">
      <c r="A102" s="153" t="s">
        <v>220</v>
      </c>
      <c r="F102" s="208">
        <f t="shared" ref="F102:L102" si="59">F93/F100</f>
        <v>0.66058231423538405</v>
      </c>
      <c r="G102" s="208">
        <f t="shared" si="59"/>
        <v>0.6749214177505789</v>
      </c>
      <c r="H102" s="208">
        <f t="shared" si="59"/>
        <v>0.68242012696430432</v>
      </c>
      <c r="I102" s="208">
        <f t="shared" si="59"/>
        <v>0.6730637268687778</v>
      </c>
      <c r="J102" s="208">
        <f t="shared" si="59"/>
        <v>0.66395699382859508</v>
      </c>
      <c r="K102" s="208">
        <f t="shared" si="59"/>
        <v>0.67846773573296415</v>
      </c>
      <c r="L102" s="208">
        <f t="shared" si="59"/>
        <v>0.76648081779484256</v>
      </c>
      <c r="M102" s="208">
        <v>0.71094027669909299</v>
      </c>
      <c r="N102" s="208">
        <f t="shared" ref="N102" si="60">N93/N100</f>
        <v>0.76034541114436371</v>
      </c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2">
      <c r="A103" s="35" t="s">
        <v>18</v>
      </c>
      <c r="B103" s="35" t="s">
        <v>278</v>
      </c>
      <c r="C103" t="s">
        <v>314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1984.547</v>
      </c>
      <c r="O103" s="35">
        <f>N103*(1+O105)</f>
        <v>2009.5840333646127</v>
      </c>
      <c r="P103" s="35">
        <f t="shared" ref="P103:V103" si="61">O103*(1+P105)</f>
        <v>2031.5173022625379</v>
      </c>
      <c r="Q103" s="35">
        <f t="shared" si="61"/>
        <v>2046.001536440413</v>
      </c>
      <c r="R103" s="35">
        <f t="shared" si="61"/>
        <v>2056.0370415493694</v>
      </c>
      <c r="S103" s="35">
        <f t="shared" si="61"/>
        <v>2065.9690878427696</v>
      </c>
      <c r="T103" s="35">
        <f t="shared" si="61"/>
        <v>2073.2112049317075</v>
      </c>
      <c r="U103" s="35">
        <f t="shared" si="61"/>
        <v>2077.6599340006264</v>
      </c>
      <c r="V103" s="35">
        <f t="shared" si="61"/>
        <v>2079.3152750495265</v>
      </c>
      <c r="AM103" s="233"/>
    </row>
    <row r="104" spans="1:39" s="185" customFormat="1" x14ac:dyDescent="0.2">
      <c r="A104" s="169" t="s">
        <v>282</v>
      </c>
      <c r="B104" s="35"/>
      <c r="C104" s="35"/>
      <c r="D104" s="35"/>
      <c r="F104" s="200"/>
      <c r="G104" s="200">
        <f t="shared" ref="G104:L104" si="62">(G103/F103)-1</f>
        <v>7.8113264233139468E-3</v>
      </c>
      <c r="H104" s="200">
        <f t="shared" si="62"/>
        <v>6.3596164356336526E-3</v>
      </c>
      <c r="I104" s="200">
        <f t="shared" si="62"/>
        <v>1.3823747222907468E-3</v>
      </c>
      <c r="J104" s="200">
        <f t="shared" si="62"/>
        <v>3.5990731154167399E-3</v>
      </c>
      <c r="K104" s="200">
        <f t="shared" si="62"/>
        <v>2.6527805069758159E-3</v>
      </c>
      <c r="L104" s="200">
        <f t="shared" si="62"/>
        <v>-1.36697697207252E-2</v>
      </c>
      <c r="M104" s="302">
        <v>-9.9592668024439668E-3</v>
      </c>
      <c r="N104" s="323">
        <f>(N103/M103)-1</f>
        <v>-4.2668250837534227E-3</v>
      </c>
      <c r="O104" s="252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2">
      <c r="A105" s="169" t="s">
        <v>283</v>
      </c>
      <c r="B105" s="35" t="s">
        <v>278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196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2">
      <c r="A106" s="35" t="s">
        <v>214</v>
      </c>
      <c r="B106" s="35" t="s">
        <v>278</v>
      </c>
      <c r="C106" t="s">
        <v>315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2337.201</v>
      </c>
      <c r="O106">
        <v>2469.9411956560398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2">
      <c r="F107" s="197"/>
      <c r="G107" s="197"/>
      <c r="H107" s="197"/>
      <c r="I107" s="197"/>
      <c r="J107" s="197"/>
      <c r="K107" s="197"/>
      <c r="L107" s="197"/>
      <c r="M107" s="301"/>
      <c r="N107" s="301"/>
      <c r="O107">
        <f>N107*(1+O110)</f>
        <v>0</v>
      </c>
      <c r="P107">
        <f t="shared" ref="P107:S107" si="63">O107*(1+P110)</f>
        <v>0</v>
      </c>
      <c r="Q107">
        <f t="shared" si="63"/>
        <v>0</v>
      </c>
      <c r="R107">
        <f t="shared" si="63"/>
        <v>0</v>
      </c>
      <c r="S107">
        <f t="shared" si="63"/>
        <v>0</v>
      </c>
      <c r="T107">
        <f>S107*(1+T109)</f>
        <v>0</v>
      </c>
      <c r="U107">
        <f t="shared" ref="U107:V107" si="64">T107*(1+U109)</f>
        <v>0</v>
      </c>
      <c r="V107">
        <f t="shared" si="64"/>
        <v>0</v>
      </c>
      <c r="W107"/>
      <c r="X107"/>
      <c r="Y107"/>
      <c r="AM107" s="233"/>
    </row>
    <row r="108" spans="1:39" s="185" customFormat="1" x14ac:dyDescent="0.2">
      <c r="A108" s="169" t="s">
        <v>282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5">(K106/J106)-1</f>
        <v>1.0265546788835067E-2</v>
      </c>
      <c r="L108" s="200">
        <f t="shared" ref="L108" si="66">(L106/K106)-1</f>
        <v>-1.9776620759153429E-2</v>
      </c>
      <c r="M108" s="302">
        <v>-8.3608921686818549E-3</v>
      </c>
      <c r="N108" s="323">
        <f>(((N106/M106))^4)-1</f>
        <v>1.3106483787577172E-2</v>
      </c>
      <c r="O108" s="252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2">
      <c r="A109" s="169" t="s">
        <v>283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175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2">
      <c r="A110" s="169" t="s">
        <v>366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175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2">
      <c r="A111" s="35" t="s">
        <v>163</v>
      </c>
      <c r="F111" s="201">
        <f t="shared" ref="F111:L111" si="67">F97+F46-F93</f>
        <v>339220</v>
      </c>
      <c r="G111" s="201">
        <f t="shared" si="67"/>
        <v>334185</v>
      </c>
      <c r="H111" s="201">
        <f t="shared" si="67"/>
        <v>335532</v>
      </c>
      <c r="I111" s="201">
        <f t="shared" si="67"/>
        <v>344546</v>
      </c>
      <c r="J111" s="201">
        <f t="shared" si="67"/>
        <v>349558</v>
      </c>
      <c r="K111" s="201">
        <f t="shared" si="67"/>
        <v>343658</v>
      </c>
      <c r="L111" s="201">
        <f t="shared" si="67"/>
        <v>560584.66666666674</v>
      </c>
      <c r="M111" s="301">
        <v>528408</v>
      </c>
      <c r="N111" s="306">
        <f t="shared" ref="N111:Y111" si="68">N97+N46-N93</f>
        <v>343247</v>
      </c>
      <c r="O111" s="215">
        <f t="shared" si="68"/>
        <v>383773.58690641256</v>
      </c>
      <c r="P111" s="215">
        <f t="shared" si="68"/>
        <v>369916.53105964203</v>
      </c>
      <c r="Q111" s="215">
        <f t="shared" si="68"/>
        <v>370645.703294267</v>
      </c>
      <c r="R111" s="215">
        <f t="shared" si="68"/>
        <v>371744.93043796421</v>
      </c>
      <c r="S111" s="215">
        <f t="shared" si="68"/>
        <v>373221.55890099745</v>
      </c>
      <c r="T111" s="215">
        <f t="shared" si="68"/>
        <v>416124.06265897548</v>
      </c>
      <c r="U111" s="215">
        <f t="shared" si="68"/>
        <v>417555.5449371516</v>
      </c>
      <c r="V111" s="215">
        <f t="shared" si="68"/>
        <v>419048.72903766285</v>
      </c>
      <c r="W111" s="215">
        <f t="shared" si="68"/>
        <v>0</v>
      </c>
      <c r="X111" s="215">
        <f t="shared" si="68"/>
        <v>0</v>
      </c>
      <c r="Y111" s="215">
        <f t="shared" si="68"/>
        <v>0</v>
      </c>
      <c r="AM111" s="233"/>
    </row>
    <row r="112" spans="1:39" s="35" customFormat="1" x14ac:dyDescent="0.2">
      <c r="A112" s="141" t="s">
        <v>211</v>
      </c>
      <c r="B112" s="141"/>
      <c r="E112" s="141"/>
      <c r="F112" s="201">
        <f t="shared" ref="F112:L112" si="69">F100-F93</f>
        <v>200195</v>
      </c>
      <c r="G112" s="201">
        <f t="shared" si="69"/>
        <v>194843</v>
      </c>
      <c r="H112" s="201">
        <f t="shared" si="69"/>
        <v>195304</v>
      </c>
      <c r="I112" s="201">
        <f t="shared" si="69"/>
        <v>203441</v>
      </c>
      <c r="J112" s="201">
        <f t="shared" si="69"/>
        <v>208223</v>
      </c>
      <c r="K112" s="201">
        <f t="shared" si="69"/>
        <v>200667</v>
      </c>
      <c r="L112" s="201">
        <f t="shared" si="69"/>
        <v>156183</v>
      </c>
      <c r="M112" s="301">
        <v>197631</v>
      </c>
      <c r="N112" s="306">
        <f>N100-N93</f>
        <v>161439</v>
      </c>
      <c r="O112" s="142">
        <f t="shared" ref="O112:Y112" si="70">O100-O93</f>
        <v>178302.81690641254</v>
      </c>
      <c r="P112" s="142">
        <f t="shared" si="70"/>
        <v>180082.08413464209</v>
      </c>
      <c r="Q112" s="142">
        <f t="shared" si="70"/>
        <v>180082.08413464209</v>
      </c>
      <c r="R112" s="142">
        <f t="shared" si="70"/>
        <v>180082.08413464209</v>
      </c>
      <c r="S112" s="142">
        <f t="shared" si="70"/>
        <v>180082.08413464209</v>
      </c>
      <c r="T112" s="142">
        <f t="shared" si="70"/>
        <v>221639.48816571326</v>
      </c>
      <c r="U112" s="142">
        <f t="shared" si="70"/>
        <v>221639.48816571326</v>
      </c>
      <c r="V112" s="142">
        <f t="shared" si="70"/>
        <v>221639.48816571326</v>
      </c>
      <c r="W112" s="142">
        <f t="shared" si="70"/>
        <v>0</v>
      </c>
      <c r="X112" s="142">
        <f t="shared" si="70"/>
        <v>0</v>
      </c>
      <c r="Y112" s="142">
        <f t="shared" si="70"/>
        <v>0</v>
      </c>
      <c r="AM112" s="233"/>
    </row>
    <row r="113" spans="1:39" s="141" customFormat="1" x14ac:dyDescent="0.2">
      <c r="A113" s="141" t="s">
        <v>229</v>
      </c>
      <c r="C113" s="35"/>
      <c r="D113" s="35"/>
      <c r="F113" s="201">
        <f t="shared" ref="F113:K113" si="71">F111-F112</f>
        <v>139025</v>
      </c>
      <c r="G113" s="201">
        <f t="shared" si="71"/>
        <v>139342</v>
      </c>
      <c r="H113" s="201">
        <f t="shared" si="71"/>
        <v>140228</v>
      </c>
      <c r="I113" s="201">
        <f t="shared" si="71"/>
        <v>141105</v>
      </c>
      <c r="J113" s="201">
        <f t="shared" si="71"/>
        <v>141335</v>
      </c>
      <c r="K113" s="201">
        <f t="shared" si="71"/>
        <v>142991</v>
      </c>
      <c r="L113" s="201">
        <f>L111-L112</f>
        <v>404401.66666666674</v>
      </c>
      <c r="M113" s="306">
        <v>330777</v>
      </c>
      <c r="N113" s="306">
        <f>N111-N112</f>
        <v>181808</v>
      </c>
      <c r="O113" s="142">
        <f t="shared" ref="O113:Y113" si="72">O111-O112</f>
        <v>205470.77000000002</v>
      </c>
      <c r="P113" s="142">
        <f t="shared" si="72"/>
        <v>189834.44692499994</v>
      </c>
      <c r="Q113" s="142">
        <f t="shared" si="72"/>
        <v>190563.61915962491</v>
      </c>
      <c r="R113" s="142">
        <f t="shared" si="72"/>
        <v>191662.84630332212</v>
      </c>
      <c r="S113" s="142">
        <f t="shared" si="72"/>
        <v>193139.47476635536</v>
      </c>
      <c r="T113" s="142">
        <f t="shared" si="72"/>
        <v>194484.57449326222</v>
      </c>
      <c r="U113" s="142">
        <f t="shared" si="72"/>
        <v>195916.05677143834</v>
      </c>
      <c r="V113" s="142">
        <f t="shared" si="72"/>
        <v>197409.24087194959</v>
      </c>
      <c r="W113" s="142">
        <f t="shared" si="72"/>
        <v>0</v>
      </c>
      <c r="X113" s="142">
        <f t="shared" si="72"/>
        <v>0</v>
      </c>
      <c r="Y113" s="142">
        <f t="shared" si="72"/>
        <v>0</v>
      </c>
      <c r="AM113" s="256"/>
    </row>
    <row r="114" spans="1:39" s="35" customFormat="1" x14ac:dyDescent="0.2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2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2">
      <c r="A116" t="s">
        <v>158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2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2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2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9CCE-42A9-4A07-8071-0CF6958B7C48}">
  <dimension ref="A1:J16"/>
  <sheetViews>
    <sheetView topLeftCell="A6" workbookViewId="0">
      <selection activeCell="B19" sqref="B19"/>
    </sheetView>
  </sheetViews>
  <sheetFormatPr baseColWidth="10" defaultColWidth="8.83203125" defaultRowHeight="15" x14ac:dyDescent="0.2"/>
  <cols>
    <col min="1" max="1" width="24.6640625" customWidth="1"/>
  </cols>
  <sheetData>
    <row r="1" spans="1:10" x14ac:dyDescent="0.2">
      <c r="B1" t="s">
        <v>378</v>
      </c>
      <c r="C1" t="s">
        <v>379</v>
      </c>
      <c r="D1" t="s">
        <v>380</v>
      </c>
      <c r="E1" t="s">
        <v>381</v>
      </c>
      <c r="F1" t="s">
        <v>117</v>
      </c>
      <c r="G1" t="s">
        <v>383</v>
      </c>
      <c r="H1" t="s">
        <v>384</v>
      </c>
      <c r="I1" t="s">
        <v>385</v>
      </c>
      <c r="J1" t="s">
        <v>386</v>
      </c>
    </row>
    <row r="2" spans="1:10" x14ac:dyDescent="0.2">
      <c r="A2" t="s">
        <v>382</v>
      </c>
      <c r="B2">
        <v>2</v>
      </c>
      <c r="C2">
        <v>91</v>
      </c>
      <c r="D2">
        <v>86</v>
      </c>
      <c r="E2">
        <f>261-SUM(B2:D2)</f>
        <v>82</v>
      </c>
    </row>
    <row r="4" spans="1:10" x14ac:dyDescent="0.2">
      <c r="A4" t="s">
        <v>378</v>
      </c>
      <c r="B4">
        <f>$B2/6</f>
        <v>0.33333333333333331</v>
      </c>
      <c r="C4">
        <f t="shared" ref="C4:G4" si="0">$B2/6</f>
        <v>0.33333333333333331</v>
      </c>
      <c r="D4">
        <f t="shared" si="0"/>
        <v>0.33333333333333331</v>
      </c>
      <c r="E4">
        <f t="shared" si="0"/>
        <v>0.33333333333333331</v>
      </c>
      <c r="F4">
        <f t="shared" si="0"/>
        <v>0.33333333333333331</v>
      </c>
      <c r="G4">
        <f t="shared" si="0"/>
        <v>0.33333333333333331</v>
      </c>
    </row>
    <row r="5" spans="1:10" x14ac:dyDescent="0.2">
      <c r="A5" t="s">
        <v>379</v>
      </c>
      <c r="C5">
        <f>$C2/6</f>
        <v>15.166666666666666</v>
      </c>
      <c r="D5">
        <f t="shared" ref="D5:H5" si="1">$C2/6</f>
        <v>15.166666666666666</v>
      </c>
      <c r="E5">
        <f t="shared" si="1"/>
        <v>15.166666666666666</v>
      </c>
      <c r="F5">
        <f t="shared" si="1"/>
        <v>15.166666666666666</v>
      </c>
      <c r="G5">
        <f t="shared" si="1"/>
        <v>15.166666666666666</v>
      </c>
      <c r="H5">
        <f t="shared" si="1"/>
        <v>15.166666666666666</v>
      </c>
    </row>
    <row r="6" spans="1:10" x14ac:dyDescent="0.2">
      <c r="A6" t="s">
        <v>380</v>
      </c>
      <c r="D6">
        <f>$D2/6</f>
        <v>14.333333333333334</v>
      </c>
      <c r="E6">
        <f t="shared" ref="E6:I6" si="2">$D2/6</f>
        <v>14.333333333333334</v>
      </c>
      <c r="F6">
        <f t="shared" si="2"/>
        <v>14.333333333333334</v>
      </c>
      <c r="G6">
        <f t="shared" si="2"/>
        <v>14.333333333333334</v>
      </c>
      <c r="H6">
        <f t="shared" si="2"/>
        <v>14.333333333333334</v>
      </c>
      <c r="I6">
        <f t="shared" si="2"/>
        <v>14.333333333333334</v>
      </c>
    </row>
    <row r="7" spans="1:10" x14ac:dyDescent="0.2">
      <c r="A7" t="s">
        <v>381</v>
      </c>
      <c r="E7">
        <f>$E2/6</f>
        <v>13.666666666666666</v>
      </c>
      <c r="F7">
        <f t="shared" ref="F7:J7" si="3">$E2/6</f>
        <v>13.666666666666666</v>
      </c>
      <c r="G7">
        <f t="shared" si="3"/>
        <v>13.666666666666666</v>
      </c>
      <c r="H7">
        <f t="shared" si="3"/>
        <v>13.666666666666666</v>
      </c>
      <c r="I7">
        <f t="shared" si="3"/>
        <v>13.666666666666666</v>
      </c>
      <c r="J7">
        <f t="shared" si="3"/>
        <v>13.666666666666666</v>
      </c>
    </row>
    <row r="9" spans="1:10" x14ac:dyDescent="0.2">
      <c r="A9" t="s">
        <v>34</v>
      </c>
      <c r="B9">
        <f>SUM(B4:B7)</f>
        <v>0.33333333333333331</v>
      </c>
      <c r="C9">
        <f t="shared" ref="C9:J9" si="4">SUM(C4:C7)</f>
        <v>15.5</v>
      </c>
      <c r="D9">
        <f t="shared" si="4"/>
        <v>29.833333333333336</v>
      </c>
      <c r="E9">
        <f t="shared" si="4"/>
        <v>43.5</v>
      </c>
      <c r="F9">
        <f t="shared" si="4"/>
        <v>43.5</v>
      </c>
      <c r="G9">
        <f t="shared" si="4"/>
        <v>43.5</v>
      </c>
      <c r="H9">
        <f t="shared" si="4"/>
        <v>43.166666666666664</v>
      </c>
      <c r="I9">
        <f t="shared" si="4"/>
        <v>28</v>
      </c>
      <c r="J9">
        <f t="shared" si="4"/>
        <v>13.666666666666666</v>
      </c>
    </row>
    <row r="11" spans="1:10" x14ac:dyDescent="0.2">
      <c r="B11" t="s">
        <v>110</v>
      </c>
      <c r="C11" t="s">
        <v>111</v>
      </c>
      <c r="D11" t="s">
        <v>112</v>
      </c>
      <c r="E11" t="s">
        <v>135</v>
      </c>
    </row>
    <row r="12" spans="1:10" x14ac:dyDescent="0.2">
      <c r="A12" t="s">
        <v>388</v>
      </c>
      <c r="B12">
        <f>SUM(B9:D9)*4</f>
        <v>182.66666666666669</v>
      </c>
      <c r="C12">
        <f>SUM(E9:G9)*4</f>
        <v>522</v>
      </c>
      <c r="D12">
        <f>SUM(H9:J9)*4</f>
        <v>339.33333333333331</v>
      </c>
    </row>
    <row r="13" spans="1:10" ht="96" customHeight="1" x14ac:dyDescent="0.2">
      <c r="A13" s="86" t="s">
        <v>387</v>
      </c>
      <c r="B13">
        <f>B12*325/261</f>
        <v>227.45849297573437</v>
      </c>
      <c r="C13">
        <f t="shared" ref="C13:D13" si="5">C12*325/261</f>
        <v>650</v>
      </c>
      <c r="D13">
        <f t="shared" si="5"/>
        <v>422.54150702426563</v>
      </c>
    </row>
    <row r="14" spans="1:10" x14ac:dyDescent="0.2">
      <c r="A14" t="s">
        <v>389</v>
      </c>
      <c r="B14">
        <f>SUM(B2:D2)*4</f>
        <v>716</v>
      </c>
      <c r="C14">
        <f>E2*4</f>
        <v>328</v>
      </c>
    </row>
    <row r="15" spans="1:10" x14ac:dyDescent="0.2">
      <c r="A15" t="s">
        <v>390</v>
      </c>
      <c r="B15">
        <f>B14*325/261</f>
        <v>891.57088122605364</v>
      </c>
      <c r="C15">
        <f>C14*325/261</f>
        <v>408.42911877394636</v>
      </c>
    </row>
    <row r="16" spans="1:10" x14ac:dyDescent="0.2">
      <c r="B16" t="s">
        <v>391</v>
      </c>
    </row>
  </sheetData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349</v>
      </c>
      <c r="B1" s="97" t="s">
        <v>351</v>
      </c>
      <c r="C1" s="97" t="s">
        <v>352</v>
      </c>
    </row>
    <row r="2" spans="1:3" x14ac:dyDescent="0.2">
      <c r="A2" s="289" t="s">
        <v>354</v>
      </c>
      <c r="B2" s="289">
        <v>325</v>
      </c>
      <c r="C2" s="290">
        <f>B2*1000</f>
        <v>325000</v>
      </c>
    </row>
    <row r="3" spans="1:3" x14ac:dyDescent="0.2">
      <c r="A3" s="289" t="s">
        <v>355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20</v>
      </c>
      <c r="B4" s="289">
        <v>166</v>
      </c>
      <c r="C4" s="290">
        <f t="shared" si="0"/>
        <v>166000</v>
      </c>
    </row>
    <row r="5" spans="1:3" x14ac:dyDescent="0.2">
      <c r="A5" s="289" t="s">
        <v>198</v>
      </c>
      <c r="B5" s="289">
        <v>82</v>
      </c>
      <c r="C5" s="290">
        <f t="shared" si="0"/>
        <v>82000</v>
      </c>
    </row>
    <row r="6" spans="1:3" x14ac:dyDescent="0.2">
      <c r="A6" s="289" t="s">
        <v>356</v>
      </c>
      <c r="B6" s="289">
        <v>63</v>
      </c>
      <c r="C6" s="290">
        <f t="shared" si="0"/>
        <v>63000</v>
      </c>
    </row>
    <row r="7" spans="1:3" x14ac:dyDescent="0.2">
      <c r="A7" s="291" t="s">
        <v>346</v>
      </c>
      <c r="B7">
        <v>22</v>
      </c>
      <c r="C7" s="290">
        <f>B7*1000</f>
        <v>22000</v>
      </c>
    </row>
    <row r="8" spans="1:3" x14ac:dyDescent="0.2">
      <c r="A8" s="176" t="s">
        <v>347</v>
      </c>
      <c r="B8">
        <v>20</v>
      </c>
      <c r="C8" s="290">
        <f>B8*1000</f>
        <v>20000</v>
      </c>
    </row>
    <row r="9" spans="1:3" x14ac:dyDescent="0.2">
      <c r="A9" s="176" t="s">
        <v>348</v>
      </c>
      <c r="B9">
        <v>9</v>
      </c>
      <c r="C9" s="290">
        <f>B9*1000</f>
        <v>9000</v>
      </c>
    </row>
    <row r="10" spans="1:3" x14ac:dyDescent="0.2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357</v>
      </c>
      <c r="B11" s="289">
        <v>45</v>
      </c>
      <c r="C11" s="290">
        <f t="shared" si="0"/>
        <v>45000</v>
      </c>
    </row>
    <row r="12" spans="1:3" x14ac:dyDescent="0.2">
      <c r="A12" s="291" t="s">
        <v>358</v>
      </c>
      <c r="B12" s="289">
        <v>16</v>
      </c>
      <c r="C12" s="290">
        <f t="shared" si="0"/>
        <v>16000</v>
      </c>
    </row>
    <row r="13" spans="1:3" x14ac:dyDescent="0.2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359</v>
      </c>
      <c r="B14" s="289">
        <v>80</v>
      </c>
      <c r="C14" s="290">
        <f t="shared" si="0"/>
        <v>80000</v>
      </c>
    </row>
    <row r="15" spans="1:3" x14ac:dyDescent="0.2">
      <c r="A15" s="291" t="s">
        <v>341</v>
      </c>
      <c r="B15" s="289">
        <v>26</v>
      </c>
      <c r="C15" s="290">
        <f t="shared" si="0"/>
        <v>26000</v>
      </c>
    </row>
    <row r="16" spans="1:3" x14ac:dyDescent="0.2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360</v>
      </c>
      <c r="B17">
        <v>30</v>
      </c>
      <c r="C17" s="290">
        <f t="shared" si="0"/>
        <v>30000</v>
      </c>
    </row>
    <row r="18" spans="1:3" x14ac:dyDescent="0.2">
      <c r="A18" s="291" t="s">
        <v>361</v>
      </c>
      <c r="B18">
        <v>20</v>
      </c>
      <c r="C18" s="290">
        <f t="shared" si="0"/>
        <v>20000</v>
      </c>
    </row>
    <row r="19" spans="1:3" x14ac:dyDescent="0.2">
      <c r="A19" s="291" t="s">
        <v>362</v>
      </c>
      <c r="B19">
        <v>5</v>
      </c>
      <c r="C19" s="290">
        <f t="shared" si="0"/>
        <v>5000</v>
      </c>
    </row>
    <row r="20" spans="1:3" ht="16" thickBot="1" x14ac:dyDescent="0.25">
      <c r="A20" s="293" t="s">
        <v>363</v>
      </c>
      <c r="B20" s="294">
        <v>5</v>
      </c>
      <c r="C20" s="295">
        <f t="shared" si="0"/>
        <v>5000</v>
      </c>
    </row>
    <row r="21" spans="1:3" x14ac:dyDescent="0.2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tabSelected="1" zoomScale="130" zoomScaleNormal="13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E6" sqref="E6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50" ht="19" x14ac:dyDescent="0.25">
      <c r="A1" s="348" t="s">
        <v>206</v>
      </c>
      <c r="B1" s="349"/>
      <c r="C1" s="35"/>
      <c r="H1"/>
      <c r="I1" s="240"/>
      <c r="J1" s="356" t="s">
        <v>277</v>
      </c>
      <c r="V1" s="340"/>
      <c r="W1" s="340"/>
      <c r="X1" s="340"/>
      <c r="Y1" s="340"/>
    </row>
    <row r="2" spans="1:50" x14ac:dyDescent="0.2">
      <c r="A2" s="350" t="s">
        <v>191</v>
      </c>
      <c r="B2" s="126"/>
      <c r="C2" t="s">
        <v>192</v>
      </c>
      <c r="I2" s="241"/>
      <c r="J2" s="356"/>
    </row>
    <row r="3" spans="1:50" x14ac:dyDescent="0.2">
      <c r="A3" s="351"/>
      <c r="B3" s="127"/>
      <c r="C3" t="s">
        <v>193</v>
      </c>
      <c r="I3" s="241"/>
      <c r="J3" s="356"/>
    </row>
    <row r="4" spans="1:50" x14ac:dyDescent="0.2">
      <c r="A4" s="351"/>
      <c r="B4" s="128"/>
      <c r="C4" t="s">
        <v>194</v>
      </c>
    </row>
    <row r="5" spans="1:50" x14ac:dyDescent="0.2">
      <c r="A5" s="352"/>
      <c r="B5" s="129"/>
      <c r="C5" t="s">
        <v>181</v>
      </c>
    </row>
    <row r="7" spans="1:50" x14ac:dyDescent="0.2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4"/>
      <c r="O7" s="353" t="s">
        <v>268</v>
      </c>
      <c r="P7" s="354"/>
      <c r="Q7" s="354"/>
      <c r="R7" s="354"/>
      <c r="S7" s="353" t="s">
        <v>271</v>
      </c>
      <c r="T7" s="354"/>
      <c r="U7" s="354"/>
      <c r="V7" s="354"/>
      <c r="W7" s="353" t="s">
        <v>272</v>
      </c>
      <c r="X7" s="354"/>
      <c r="Y7" s="354"/>
      <c r="Z7" s="354"/>
      <c r="AA7" s="222" t="s">
        <v>273</v>
      </c>
    </row>
    <row r="8" spans="1:50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ht="16" x14ac:dyDescent="0.2">
      <c r="B10" s="86" t="s">
        <v>170</v>
      </c>
      <c r="D10">
        <v>200.67099999999999</v>
      </c>
      <c r="E10">
        <v>156.16</v>
      </c>
      <c r="F10">
        <v>197.62799999999999</v>
      </c>
      <c r="G10">
        <v>170.20699999999999</v>
      </c>
      <c r="H10">
        <v>164.137</v>
      </c>
      <c r="I10">
        <v>168.283382790221</v>
      </c>
      <c r="J10">
        <v>172.42976558044199</v>
      </c>
      <c r="K10">
        <v>173.014858331521</v>
      </c>
      <c r="L10">
        <v>173.599951082601</v>
      </c>
      <c r="M10">
        <v>174.18504383368</v>
      </c>
      <c r="N10">
        <v>174.77013658476</v>
      </c>
      <c r="O10">
        <v>172.87701948733101</v>
      </c>
      <c r="P10">
        <v>170.983902389902</v>
      </c>
      <c r="Q10">
        <v>169.09078529247299</v>
      </c>
      <c r="R10">
        <v>167.197668195044</v>
      </c>
      <c r="S10">
        <v>168.18650468764599</v>
      </c>
      <c r="T10">
        <v>169.17534118024699</v>
      </c>
      <c r="U10">
        <v>170.16417767284801</v>
      </c>
      <c r="V10">
        <v>171.15301416545</v>
      </c>
      <c r="W10">
        <v>173.69648926200901</v>
      </c>
      <c r="X10">
        <v>176.23996435856799</v>
      </c>
      <c r="Y10">
        <v>178.783439455127</v>
      </c>
      <c r="Z10">
        <v>181.326914551686</v>
      </c>
      <c r="AA10">
        <v>183.85985203006999</v>
      </c>
      <c r="AB10">
        <v>186.392789508455</v>
      </c>
      <c r="AC10">
        <v>188.92572698683901</v>
      </c>
      <c r="AD10">
        <v>191.45866446522299</v>
      </c>
      <c r="AE10">
        <v>194.36254309952099</v>
      </c>
      <c r="AF10">
        <v>197.26642173381799</v>
      </c>
      <c r="AG10">
        <v>200.17030036811499</v>
      </c>
      <c r="AH10">
        <v>203.07417900241299</v>
      </c>
      <c r="AI10">
        <v>206.00159731602</v>
      </c>
      <c r="AJ10">
        <v>208.929015629627</v>
      </c>
      <c r="AK10">
        <v>211.856433943235</v>
      </c>
      <c r="AL10">
        <v>214.78385225684201</v>
      </c>
      <c r="AM10">
        <v>217.808743538567</v>
      </c>
      <c r="AN10">
        <v>220.833634820291</v>
      </c>
      <c r="AO10">
        <v>223.85852610201599</v>
      </c>
      <c r="AP10">
        <v>226.883417383741</v>
      </c>
      <c r="AQ10">
        <v>230.07495599805301</v>
      </c>
      <c r="AR10">
        <v>233.26649461236599</v>
      </c>
      <c r="AS10">
        <v>236.458033226678</v>
      </c>
      <c r="AT10">
        <v>239.649571840991</v>
      </c>
      <c r="AU10">
        <v>242.96586225756701</v>
      </c>
      <c r="AV10">
        <v>246.28215267414299</v>
      </c>
      <c r="AW10">
        <v>249.598443090719</v>
      </c>
      <c r="AX10">
        <v>252.91473350729501</v>
      </c>
    </row>
    <row r="11" spans="1:50" ht="16" x14ac:dyDescent="0.2">
      <c r="B11" s="86" t="s">
        <v>171</v>
      </c>
      <c r="D11">
        <v>143</v>
      </c>
      <c r="E11">
        <v>143.4</v>
      </c>
      <c r="F11">
        <v>144.80000000000001</v>
      </c>
      <c r="G11">
        <v>145.19999999999999</v>
      </c>
      <c r="H11">
        <v>145.9</v>
      </c>
      <c r="I11">
        <v>149.41818722510001</v>
      </c>
      <c r="J11">
        <v>152.320866661883</v>
      </c>
      <c r="K11">
        <v>154.737937585521</v>
      </c>
      <c r="L11">
        <v>157.19336327944001</v>
      </c>
      <c r="M11">
        <v>159.68775236806701</v>
      </c>
      <c r="N11">
        <v>162.03098585440199</v>
      </c>
      <c r="O11">
        <v>164.214381582182</v>
      </c>
      <c r="P11">
        <v>166.22965889912399</v>
      </c>
      <c r="Q11">
        <v>168.26966817087401</v>
      </c>
      <c r="R11">
        <v>170.30785669520299</v>
      </c>
      <c r="S11">
        <v>172.41883766682901</v>
      </c>
      <c r="T11">
        <v>174.60261108575199</v>
      </c>
      <c r="U11">
        <v>176.852559456764</v>
      </c>
      <c r="V11">
        <v>179.00986289485201</v>
      </c>
      <c r="W11">
        <v>181.06790390480799</v>
      </c>
      <c r="X11">
        <v>183.119327419554</v>
      </c>
      <c r="Y11">
        <v>185.16413343909201</v>
      </c>
      <c r="Z11">
        <v>187.208939458629</v>
      </c>
      <c r="AA11">
        <v>189.25374547816699</v>
      </c>
      <c r="AB11">
        <v>191.29855149770401</v>
      </c>
      <c r="AC11">
        <v>193.34997501245101</v>
      </c>
      <c r="AD11">
        <v>195.40139852719699</v>
      </c>
      <c r="AE11">
        <v>197.45943953715201</v>
      </c>
      <c r="AF11">
        <v>199.517480547107</v>
      </c>
      <c r="AG11">
        <v>201.582139052271</v>
      </c>
      <c r="AH11">
        <v>203.65341505264399</v>
      </c>
      <c r="AI11">
        <v>205.72469105301701</v>
      </c>
      <c r="AJ11">
        <v>207.79596705339</v>
      </c>
      <c r="AK11">
        <v>209.873860548972</v>
      </c>
      <c r="AL11">
        <v>211.95175404455401</v>
      </c>
      <c r="AM11">
        <v>214.036265035345</v>
      </c>
      <c r="AN11">
        <v>216.12077602613499</v>
      </c>
      <c r="AO11">
        <v>218.20528701692601</v>
      </c>
      <c r="AP11">
        <v>220.29641550292499</v>
      </c>
      <c r="AQ11">
        <v>222.40077897934299</v>
      </c>
      <c r="AR11">
        <v>224.51175995096901</v>
      </c>
      <c r="AS11">
        <v>226.635975913013</v>
      </c>
      <c r="AT11">
        <v>228.77342686547399</v>
      </c>
      <c r="AU11">
        <v>230.92411280835299</v>
      </c>
      <c r="AV11">
        <v>233.08803374165001</v>
      </c>
      <c r="AW11">
        <v>235.27180716057401</v>
      </c>
      <c r="AX11">
        <v>237.46219807470601</v>
      </c>
    </row>
    <row r="12" spans="1:50" ht="16" x14ac:dyDescent="0.2">
      <c r="B12" s="86" t="s">
        <v>172</v>
      </c>
      <c r="D12">
        <v>1862.4</v>
      </c>
      <c r="E12">
        <v>1779.8</v>
      </c>
      <c r="F12">
        <v>1871.3</v>
      </c>
      <c r="G12">
        <v>1907.1</v>
      </c>
      <c r="H12">
        <v>1958.3</v>
      </c>
      <c r="I12">
        <v>1978.3751090344099</v>
      </c>
      <c r="J12">
        <v>2007.0179878174299</v>
      </c>
      <c r="K12">
        <v>2033.6981662082601</v>
      </c>
      <c r="L12">
        <v>2058.9444082394798</v>
      </c>
      <c r="M12">
        <v>2079.7902580671698</v>
      </c>
      <c r="N12">
        <v>2102.1686273791902</v>
      </c>
      <c r="O12">
        <v>2124.25124731704</v>
      </c>
      <c r="P12">
        <v>2144.5772952143798</v>
      </c>
      <c r="Q12">
        <v>2167.3231107185502</v>
      </c>
      <c r="R12">
        <v>2191.2429616171398</v>
      </c>
      <c r="S12">
        <v>2215.89770490003</v>
      </c>
      <c r="T12">
        <v>2239.1633223345498</v>
      </c>
      <c r="U12">
        <v>2263.8359898219301</v>
      </c>
      <c r="V12">
        <v>2288.6968614565099</v>
      </c>
      <c r="W12">
        <v>2314.5704506450502</v>
      </c>
      <c r="X12">
        <v>2339.87046528976</v>
      </c>
      <c r="Y12">
        <v>2365.3049114681799</v>
      </c>
      <c r="Z12">
        <v>2390.1837073072502</v>
      </c>
      <c r="AA12">
        <v>2414.9370337148598</v>
      </c>
      <c r="AB12">
        <v>2439.8964884741599</v>
      </c>
      <c r="AC12">
        <v>2464.3361413031098</v>
      </c>
      <c r="AD12">
        <v>2488.5158931668698</v>
      </c>
      <c r="AE12">
        <v>2512.2565020205102</v>
      </c>
      <c r="AF12">
        <v>2535.6655130909999</v>
      </c>
      <c r="AG12">
        <v>2559.0834862637298</v>
      </c>
      <c r="AH12">
        <v>2582.8330572196101</v>
      </c>
      <c r="AI12">
        <v>2607.0934680036098</v>
      </c>
      <c r="AJ12">
        <v>2631.7661354909901</v>
      </c>
      <c r="AK12">
        <v>2656.7704007615298</v>
      </c>
      <c r="AL12">
        <v>2681.7298555208299</v>
      </c>
      <c r="AM12">
        <v>2706.7878934048499</v>
      </c>
      <c r="AN12">
        <v>2731.9265902091001</v>
      </c>
      <c r="AO12">
        <v>2757.0204765021099</v>
      </c>
      <c r="AP12">
        <v>2782.0157796704102</v>
      </c>
      <c r="AQ12">
        <v>2807.24409749713</v>
      </c>
      <c r="AR12">
        <v>2832.5441121418398</v>
      </c>
      <c r="AS12">
        <v>2858.14883826296</v>
      </c>
      <c r="AT12">
        <v>2884.24648000769</v>
      </c>
      <c r="AU12">
        <v>2910.8011889670502</v>
      </c>
      <c r="AV12">
        <v>2937.8756998567601</v>
      </c>
      <c r="AW12">
        <v>2965.0487938711899</v>
      </c>
      <c r="AX12">
        <v>2992.3742436238399</v>
      </c>
    </row>
    <row r="13" spans="1:50" ht="16" x14ac:dyDescent="0.2">
      <c r="B13" s="86" t="s">
        <v>173</v>
      </c>
      <c r="D13">
        <v>62.7</v>
      </c>
      <c r="E13">
        <v>54.2</v>
      </c>
      <c r="F13">
        <v>90.2</v>
      </c>
      <c r="G13">
        <v>95.9</v>
      </c>
      <c r="H13">
        <v>95.9</v>
      </c>
      <c r="I13">
        <v>96.883099094316506</v>
      </c>
      <c r="J13">
        <v>98.285770837814496</v>
      </c>
      <c r="K13">
        <v>99.592327089502007</v>
      </c>
      <c r="L13">
        <v>100.82866197731001</v>
      </c>
      <c r="M13">
        <v>101.849505054712</v>
      </c>
      <c r="N13">
        <v>102.94539721476001</v>
      </c>
      <c r="O13">
        <v>104.026806218508</v>
      </c>
      <c r="P13">
        <v>105.022194051504</v>
      </c>
      <c r="Q13">
        <v>106.136080436046</v>
      </c>
      <c r="R13">
        <v>107.30746056226501</v>
      </c>
      <c r="S13">
        <v>108.514829137473</v>
      </c>
      <c r="T13">
        <v>109.654170766422</v>
      </c>
      <c r="U13">
        <v>110.86241710867699</v>
      </c>
      <c r="V13">
        <v>112.07988000494301</v>
      </c>
      <c r="W13">
        <v>113.346936739448</v>
      </c>
      <c r="X13">
        <v>114.58590492840101</v>
      </c>
      <c r="Y13">
        <v>115.83145637021801</v>
      </c>
      <c r="Z13">
        <v>117.049797033532</v>
      </c>
      <c r="AA13">
        <v>118.261993327506</v>
      </c>
      <c r="AB13">
        <v>119.484283942538</v>
      </c>
      <c r="AC13">
        <v>120.68111931316299</v>
      </c>
      <c r="AD13">
        <v>121.865227061586</v>
      </c>
      <c r="AE13">
        <v>123.02782951732</v>
      </c>
      <c r="AF13">
        <v>124.174193282657</v>
      </c>
      <c r="AG13">
        <v>125.320995931518</v>
      </c>
      <c r="AH13">
        <v>126.484037270776</v>
      </c>
      <c r="AI13">
        <v>127.672094970917</v>
      </c>
      <c r="AJ13">
        <v>128.88034131317301</v>
      </c>
      <c r="AK13">
        <v>130.10482634582601</v>
      </c>
      <c r="AL13">
        <v>131.32711696085801</v>
      </c>
      <c r="AM13">
        <v>132.554235294656</v>
      </c>
      <c r="AN13">
        <v>133.78530358017301</v>
      </c>
      <c r="AO13">
        <v>135.01417744806901</v>
      </c>
      <c r="AP13">
        <v>136.23822359719799</v>
      </c>
      <c r="AQ13">
        <v>137.473680717957</v>
      </c>
      <c r="AR13">
        <v>138.71264890691</v>
      </c>
      <c r="AS13">
        <v>139.96653913568801</v>
      </c>
      <c r="AT13">
        <v>141.244567958299</v>
      </c>
      <c r="AU13">
        <v>142.54497984064699</v>
      </c>
      <c r="AV13">
        <v>143.870846967402</v>
      </c>
      <c r="AW13">
        <v>145.20154181292301</v>
      </c>
      <c r="AX13">
        <v>146.53969767835699</v>
      </c>
    </row>
    <row r="14" spans="1:50" ht="16" x14ac:dyDescent="0.2">
      <c r="B14" s="86" t="s">
        <v>175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1403.2629999999999</v>
      </c>
      <c r="I14">
        <v>1394.63952711825</v>
      </c>
      <c r="J14">
        <v>1386.0160542364999</v>
      </c>
      <c r="K14">
        <v>1416.24742986613</v>
      </c>
      <c r="L14">
        <v>1446.4788054957501</v>
      </c>
      <c r="M14">
        <v>1476.7101811253699</v>
      </c>
      <c r="N14">
        <v>1506.941556755</v>
      </c>
      <c r="O14">
        <v>1519.7601557667999</v>
      </c>
      <c r="P14">
        <v>1532.5787547785901</v>
      </c>
      <c r="Q14">
        <v>1545.3973537903901</v>
      </c>
      <c r="R14">
        <v>1558.21595280219</v>
      </c>
      <c r="S14">
        <v>1568.7825477363999</v>
      </c>
      <c r="T14">
        <v>1579.34914267061</v>
      </c>
      <c r="U14">
        <v>1589.9157376048099</v>
      </c>
      <c r="V14">
        <v>1600.48233253902</v>
      </c>
      <c r="W14">
        <v>1639.9186754518</v>
      </c>
      <c r="X14">
        <v>1679.35501836459</v>
      </c>
      <c r="Y14">
        <v>1718.79136127737</v>
      </c>
      <c r="Z14">
        <v>1758.22770419015</v>
      </c>
      <c r="AA14">
        <v>1787.6196955994999</v>
      </c>
      <c r="AB14">
        <v>1817.01168700885</v>
      </c>
      <c r="AC14">
        <v>1846.4036784181901</v>
      </c>
      <c r="AD14">
        <v>1875.79566982754</v>
      </c>
      <c r="AE14">
        <v>1908.2148727936301</v>
      </c>
      <c r="AF14">
        <v>1940.63407575972</v>
      </c>
      <c r="AG14">
        <v>1973.0532787258101</v>
      </c>
      <c r="AH14">
        <v>2005.4724816918999</v>
      </c>
      <c r="AI14">
        <v>2057.1759873287501</v>
      </c>
      <c r="AJ14">
        <v>2108.8794929656101</v>
      </c>
      <c r="AK14">
        <v>2160.5829986024601</v>
      </c>
      <c r="AL14">
        <v>2212.28650423931</v>
      </c>
      <c r="AM14">
        <v>2211.5343138466101</v>
      </c>
      <c r="AN14">
        <v>2210.7821234539101</v>
      </c>
      <c r="AO14">
        <v>2210.0299330612002</v>
      </c>
      <c r="AP14">
        <v>2209.2777426685002</v>
      </c>
      <c r="AQ14">
        <v>2261.6493087725698</v>
      </c>
      <c r="AR14">
        <v>2314.0208748766299</v>
      </c>
      <c r="AS14">
        <v>2366.3924409807</v>
      </c>
      <c r="AT14">
        <v>2418.7640070847701</v>
      </c>
      <c r="AU14">
        <v>2464.36520513099</v>
      </c>
      <c r="AV14">
        <v>2509.9664031771999</v>
      </c>
      <c r="AW14">
        <v>2555.5676012234098</v>
      </c>
      <c r="AX14">
        <v>2601.1687992696202</v>
      </c>
    </row>
    <row r="15" spans="1:50" ht="16" x14ac:dyDescent="0.2">
      <c r="B15" s="86" t="s">
        <v>166</v>
      </c>
      <c r="D15">
        <v>1574.4</v>
      </c>
      <c r="E15">
        <v>2906.6</v>
      </c>
      <c r="F15">
        <v>1877</v>
      </c>
      <c r="G15">
        <v>1761.2</v>
      </c>
      <c r="H15">
        <v>2358.93408</v>
      </c>
      <c r="I15">
        <v>2170.3800089881402</v>
      </c>
      <c r="J15">
        <v>1982.08465517323</v>
      </c>
      <c r="K15">
        <v>1964.2732386504299</v>
      </c>
      <c r="L15">
        <v>1971.8654684897299</v>
      </c>
      <c r="M15">
        <v>1994.9860458971</v>
      </c>
      <c r="N15">
        <v>2018.1593968787799</v>
      </c>
      <c r="O15">
        <v>2042.3250752240101</v>
      </c>
      <c r="P15">
        <v>2063.8305425707699</v>
      </c>
      <c r="Q15">
        <v>2085.4908226894399</v>
      </c>
      <c r="R15">
        <v>2107.1576980147902</v>
      </c>
      <c r="S15">
        <v>2125.33778014887</v>
      </c>
      <c r="T15">
        <v>2140.5533368558999</v>
      </c>
      <c r="U15">
        <v>2153.32886539945</v>
      </c>
      <c r="V15">
        <v>2166.1061273640098</v>
      </c>
      <c r="W15">
        <v>2209.8844882677699</v>
      </c>
      <c r="X15">
        <v>2257.1595960427699</v>
      </c>
      <c r="Y15">
        <v>2305.2955328192002</v>
      </c>
      <c r="Z15">
        <v>2353.4355159612001</v>
      </c>
      <c r="AA15">
        <v>2385.84129754369</v>
      </c>
      <c r="AB15">
        <v>2415.1145254344001</v>
      </c>
      <c r="AC15">
        <v>2442.2619888997601</v>
      </c>
      <c r="AD15">
        <v>2469.41081042224</v>
      </c>
      <c r="AE15">
        <v>2496.5929612599002</v>
      </c>
      <c r="AF15">
        <v>2525.3915669141702</v>
      </c>
      <c r="AG15">
        <v>2554.4167448388898</v>
      </c>
      <c r="AH15">
        <v>2583.4442663342702</v>
      </c>
      <c r="AI15">
        <v>2637.1743815998898</v>
      </c>
      <c r="AJ15">
        <v>2692.7731301131198</v>
      </c>
      <c r="AK15">
        <v>2748.7983885369299</v>
      </c>
      <c r="AL15">
        <v>2804.8276583215602</v>
      </c>
      <c r="AM15">
        <v>2799.5649600013298</v>
      </c>
      <c r="AN15">
        <v>2787.7242018827201</v>
      </c>
      <c r="AO15">
        <v>2772.4412040287002</v>
      </c>
      <c r="AP15">
        <v>2757.1529185377099</v>
      </c>
      <c r="AQ15">
        <v>2810.0604270122699</v>
      </c>
      <c r="AR15">
        <v>2872.4535024980901</v>
      </c>
      <c r="AS15">
        <v>2940.3227364205</v>
      </c>
      <c r="AT15">
        <v>3008.19784086749</v>
      </c>
      <c r="AU15">
        <v>3014.9625944009899</v>
      </c>
      <c r="AV15">
        <v>3015.5512583673199</v>
      </c>
      <c r="AW15">
        <v>3014.0026884622498</v>
      </c>
      <c r="AX15">
        <v>3012.44816272761</v>
      </c>
    </row>
    <row r="16" spans="1:50" ht="16" x14ac:dyDescent="0.2">
      <c r="B16" s="86" t="s">
        <v>169</v>
      </c>
      <c r="D16">
        <v>74.5</v>
      </c>
      <c r="E16">
        <v>1085.9000000000001</v>
      </c>
      <c r="F16">
        <v>1212.9000000000001</v>
      </c>
      <c r="G16">
        <v>609.79999999999995</v>
      </c>
      <c r="H16">
        <v>402.3</v>
      </c>
      <c r="I16">
        <v>404.18538158623397</v>
      </c>
      <c r="J16">
        <v>406.11408156777497</v>
      </c>
      <c r="K16">
        <v>408.08197438316603</v>
      </c>
      <c r="L16">
        <v>410.07255778657401</v>
      </c>
      <c r="M16">
        <v>412.05076450561</v>
      </c>
      <c r="N16">
        <v>413.998029513711</v>
      </c>
      <c r="O16">
        <v>415.93291783743899</v>
      </c>
      <c r="P16">
        <v>417.86368059970903</v>
      </c>
      <c r="Q16">
        <v>419.80063170416599</v>
      </c>
      <c r="R16">
        <v>421.75614783518301</v>
      </c>
      <c r="S16">
        <v>423.73022899275998</v>
      </c>
      <c r="T16">
        <v>425.71668683471103</v>
      </c>
      <c r="U16">
        <v>427.69901911520401</v>
      </c>
      <c r="V16">
        <v>429.68753973788398</v>
      </c>
      <c r="W16">
        <v>431.68018592202202</v>
      </c>
      <c r="X16">
        <v>433.67076932543</v>
      </c>
      <c r="Y16">
        <v>435.63659936009202</v>
      </c>
      <c r="Z16">
        <v>437.58798992965097</v>
      </c>
      <c r="AA16">
        <v>439.524941034108</v>
      </c>
      <c r="AB16">
        <v>441.44951545419099</v>
      </c>
      <c r="AC16">
        <v>443.35552484771398</v>
      </c>
      <c r="AD16">
        <v>445.259471460508</v>
      </c>
      <c r="AE16">
        <v>447.16548085403099</v>
      </c>
      <c r="AF16">
        <v>449.07355302828302</v>
      </c>
      <c r="AG16">
        <v>450.98368798326402</v>
      </c>
      <c r="AH16">
        <v>452.90619962261798</v>
      </c>
      <c r="AI16">
        <v>454.83283682343102</v>
      </c>
      <c r="AJ16">
        <v>456.76772514715901</v>
      </c>
      <c r="AK16">
        <v>458.72736683963302</v>
      </c>
      <c r="AL16">
        <v>460.70763633939799</v>
      </c>
      <c r="AM16">
        <v>462.71059642718001</v>
      </c>
      <c r="AN16">
        <v>464.73212154152202</v>
      </c>
      <c r="AO16">
        <v>466.76808612096698</v>
      </c>
      <c r="AP16">
        <v>468.801987919684</v>
      </c>
      <c r="AQ16">
        <v>470.83176415694197</v>
      </c>
      <c r="AR16">
        <v>472.86360317492898</v>
      </c>
      <c r="AS16">
        <v>474.89544219291599</v>
      </c>
      <c r="AT16">
        <v>476.927281210903</v>
      </c>
      <c r="AU16">
        <v>478.965308571077</v>
      </c>
      <c r="AV16">
        <v>481.00539871197998</v>
      </c>
      <c r="AW16">
        <v>483.04961441434102</v>
      </c>
      <c r="AX16">
        <v>485.09176733597201</v>
      </c>
    </row>
    <row r="17" spans="1:50" x14ac:dyDescent="0.2">
      <c r="B17" t="s">
        <v>195</v>
      </c>
      <c r="D17">
        <v>204.37100000000001</v>
      </c>
      <c r="E17">
        <v>884.26</v>
      </c>
      <c r="F17">
        <v>242.12799999999999</v>
      </c>
      <c r="G17">
        <v>225.90700000000001</v>
      </c>
      <c r="H17">
        <v>260.73700000000002</v>
      </c>
      <c r="I17">
        <v>255.59948840017799</v>
      </c>
      <c r="J17">
        <v>254.55541346215</v>
      </c>
      <c r="K17">
        <v>256.89572380491899</v>
      </c>
      <c r="L17">
        <v>259.47104592492298</v>
      </c>
      <c r="M17">
        <v>261.94028245643398</v>
      </c>
      <c r="N17">
        <v>264.42386516359801</v>
      </c>
      <c r="O17">
        <v>266.96509198785299</v>
      </c>
      <c r="P17">
        <v>269.50680093709798</v>
      </c>
      <c r="Q17">
        <v>272.09622896230098</v>
      </c>
      <c r="R17">
        <v>274.73279727509299</v>
      </c>
      <c r="S17">
        <v>277.43299355096599</v>
      </c>
      <c r="T17">
        <v>280.18660377739002</v>
      </c>
      <c r="U17">
        <v>282.96027933542803</v>
      </c>
      <c r="V17">
        <v>285.76787991439801</v>
      </c>
      <c r="W17">
        <v>288.60599468885499</v>
      </c>
      <c r="X17">
        <v>291.45669283695003</v>
      </c>
      <c r="Y17">
        <v>294.32349490703803</v>
      </c>
      <c r="Z17">
        <v>297.203923810513</v>
      </c>
      <c r="AA17">
        <v>300.10743213158901</v>
      </c>
      <c r="AB17">
        <v>303.03076239752602</v>
      </c>
      <c r="AC17">
        <v>305.96732781542198</v>
      </c>
      <c r="AD17">
        <v>308.933269814786</v>
      </c>
      <c r="AE17">
        <v>311.92682031928803</v>
      </c>
      <c r="AF17">
        <v>314.95057777842101</v>
      </c>
      <c r="AG17">
        <v>317.99988617750199</v>
      </c>
      <c r="AH17">
        <v>321.08460698104102</v>
      </c>
      <c r="AI17">
        <v>324.19918656622298</v>
      </c>
      <c r="AJ17">
        <v>327.32952746436501</v>
      </c>
      <c r="AK17">
        <v>330.49490821139301</v>
      </c>
      <c r="AL17">
        <v>333.69267244823402</v>
      </c>
      <c r="AM17">
        <v>336.92458346914202</v>
      </c>
      <c r="AN17">
        <v>340.18041466745098</v>
      </c>
      <c r="AO17">
        <v>343.46484362914902</v>
      </c>
      <c r="AP17">
        <v>346.76592631979901</v>
      </c>
      <c r="AQ17">
        <v>350.08468421354098</v>
      </c>
      <c r="AR17">
        <v>353.42318738029297</v>
      </c>
      <c r="AS17">
        <v>356.77995072225002</v>
      </c>
      <c r="AT17">
        <v>360.15500702948498</v>
      </c>
      <c r="AU17">
        <v>363.555644240942</v>
      </c>
      <c r="AV17">
        <v>366.97627559402702</v>
      </c>
      <c r="AW17">
        <v>370.42373968929098</v>
      </c>
      <c r="AX17">
        <v>373.88820823868502</v>
      </c>
    </row>
    <row r="19" spans="1:50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50" ht="19" x14ac:dyDescent="0.2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50" x14ac:dyDescent="0.2">
      <c r="B21" t="s">
        <v>184</v>
      </c>
      <c r="D21" s="102">
        <f>main!L112/1000</f>
        <v>156.18299999999999</v>
      </c>
      <c r="E21" s="104">
        <f>main!M112/1000</f>
        <v>197.631</v>
      </c>
      <c r="F21" s="104">
        <f>main!N112/1000</f>
        <v>161.43899999999999</v>
      </c>
      <c r="G21" s="149">
        <f>main!O112/1000</f>
        <v>178.30281690641254</v>
      </c>
      <c r="H21" s="104">
        <f>main!P112/1000</f>
        <v>180.08208413464209</v>
      </c>
      <c r="I21" s="104">
        <f>main!Q112/1000</f>
        <v>180.08208413464209</v>
      </c>
      <c r="J21" s="104">
        <f>main!R112/1000</f>
        <v>180.08208413464209</v>
      </c>
      <c r="K21" s="149">
        <f>main!S112/1000</f>
        <v>180.08208413464209</v>
      </c>
      <c r="L21" s="104">
        <f>main!T112/1000</f>
        <v>221.63948816571326</v>
      </c>
      <c r="M21" s="223">
        <f>main!U112/1000</f>
        <v>221.63948816571326</v>
      </c>
      <c r="N21" s="104">
        <f>M21*(1+N23)</f>
        <v>222.38649101375509</v>
      </c>
      <c r="O21" s="149">
        <f t="shared" ref="O21:AA21" si="0">N21*(1+O23)</f>
        <v>223.13349386179817</v>
      </c>
      <c r="P21" s="104">
        <f t="shared" si="0"/>
        <v>220.71650294736941</v>
      </c>
      <c r="Q21" s="104">
        <f t="shared" si="0"/>
        <v>218.29951203294061</v>
      </c>
      <c r="R21" s="104">
        <f t="shared" si="0"/>
        <v>215.88252111851185</v>
      </c>
      <c r="S21" s="149">
        <f t="shared" si="0"/>
        <v>213.46553020408311</v>
      </c>
      <c r="T21" s="104">
        <f t="shared" si="0"/>
        <v>214.7280029912765</v>
      </c>
      <c r="U21" s="104">
        <f t="shared" si="0"/>
        <v>215.99047577846861</v>
      </c>
      <c r="V21" s="104">
        <f t="shared" si="0"/>
        <v>217.25294856566072</v>
      </c>
      <c r="W21" s="149">
        <f t="shared" si="0"/>
        <v>218.5154213528541</v>
      </c>
      <c r="X21" s="104">
        <f t="shared" si="0"/>
        <v>221.76274092321128</v>
      </c>
      <c r="Y21" s="104">
        <f t="shared" si="0"/>
        <v>225.0100604935684</v>
      </c>
      <c r="Z21" s="104">
        <f t="shared" si="0"/>
        <v>228.25738006392558</v>
      </c>
      <c r="AA21" s="149">
        <f t="shared" si="0"/>
        <v>231.50469963428273</v>
      </c>
      <c r="AB21" s="95"/>
    </row>
    <row r="22" spans="1:50" x14ac:dyDescent="0.2">
      <c r="B22" t="s">
        <v>177</v>
      </c>
      <c r="D22" s="102" t="e">
        <f>#REF!</f>
        <v>#REF!</v>
      </c>
      <c r="E22" s="104">
        <f t="shared" ref="E22:AA22" si="1">D10</f>
        <v>200.67099999999999</v>
      </c>
      <c r="F22" s="104">
        <f t="shared" si="1"/>
        <v>156.16</v>
      </c>
      <c r="G22" s="149">
        <f t="shared" si="1"/>
        <v>197.62799999999999</v>
      </c>
      <c r="H22" s="104">
        <f t="shared" si="1"/>
        <v>170.20699999999999</v>
      </c>
      <c r="I22" s="104">
        <f t="shared" si="1"/>
        <v>164.137</v>
      </c>
      <c r="J22" s="104">
        <f t="shared" si="1"/>
        <v>168.283382790221</v>
      </c>
      <c r="K22" s="149">
        <f t="shared" si="1"/>
        <v>172.42976558044199</v>
      </c>
      <c r="L22" s="104">
        <f t="shared" si="1"/>
        <v>173.014858331521</v>
      </c>
      <c r="M22" s="223">
        <f t="shared" si="1"/>
        <v>173.599951082601</v>
      </c>
      <c r="N22" s="104">
        <f t="shared" si="1"/>
        <v>174.18504383368</v>
      </c>
      <c r="O22" s="149">
        <f t="shared" si="1"/>
        <v>174.77013658476</v>
      </c>
      <c r="P22" s="104">
        <f t="shared" si="1"/>
        <v>172.87701948733101</v>
      </c>
      <c r="Q22" s="104">
        <f t="shared" si="1"/>
        <v>170.983902389902</v>
      </c>
      <c r="R22" s="104">
        <f t="shared" si="1"/>
        <v>169.09078529247299</v>
      </c>
      <c r="S22" s="149">
        <f t="shared" si="1"/>
        <v>167.197668195044</v>
      </c>
      <c r="T22" s="104">
        <f t="shared" si="1"/>
        <v>168.18650468764599</v>
      </c>
      <c r="U22" s="104">
        <f t="shared" si="1"/>
        <v>169.17534118024699</v>
      </c>
      <c r="V22" s="104">
        <f t="shared" si="1"/>
        <v>170.16417767284801</v>
      </c>
      <c r="W22" s="149">
        <f t="shared" si="1"/>
        <v>171.15301416545</v>
      </c>
      <c r="X22" s="104">
        <f t="shared" si="1"/>
        <v>173.69648926200901</v>
      </c>
      <c r="Y22" s="104">
        <f t="shared" si="1"/>
        <v>176.23996435856799</v>
      </c>
      <c r="Z22" s="104">
        <f t="shared" si="1"/>
        <v>178.783439455127</v>
      </c>
      <c r="AA22" s="149">
        <f t="shared" si="1"/>
        <v>181.326914551686</v>
      </c>
      <c r="AB22" s="95"/>
    </row>
    <row r="23" spans="1:50" s="170" customFormat="1" ht="12" x14ac:dyDescent="0.15">
      <c r="B23" s="210" t="s">
        <v>275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3.3703508983169428E-3</v>
      </c>
      <c r="O23" s="246">
        <f t="shared" ref="O23" si="3">(O22/N22)-1</f>
        <v>3.3590297892549525E-3</v>
      </c>
      <c r="P23" s="230">
        <f t="shared" ref="P23" si="4">(P22/O22)-1</f>
        <v>-1.0832039926402803E-2</v>
      </c>
      <c r="Q23" s="230">
        <f t="shared" ref="Q23" si="5">(Q22/P22)-1</f>
        <v>-1.0950657889886584E-2</v>
      </c>
      <c r="R23" s="230">
        <f t="shared" ref="R23" si="6">(R22/Q22)-1</f>
        <v>-1.1071902506424536E-2</v>
      </c>
      <c r="S23" s="246">
        <f t="shared" ref="S23" si="7">(S22/R22)-1</f>
        <v>-1.1195861998952172E-2</v>
      </c>
      <c r="T23" s="230">
        <f t="shared" ref="T23" si="8">(T22/S22)-1</f>
        <v>5.9141763355723409E-3</v>
      </c>
      <c r="U23" s="230">
        <f t="shared" ref="U23" si="9">(U22/T22)-1</f>
        <v>5.8794045006016482E-3</v>
      </c>
      <c r="V23" s="230">
        <f t="shared" ref="V23" si="10">(V22/U22)-1</f>
        <v>5.8450391511104538E-3</v>
      </c>
      <c r="W23" s="246">
        <f t="shared" ref="W23" si="11">(W22/V22)-1</f>
        <v>5.8110732007479182E-3</v>
      </c>
      <c r="X23" s="230">
        <f t="shared" ref="X23" si="12">(X22/W22)-1</f>
        <v>1.4860825612456274E-2</v>
      </c>
      <c r="Y23" s="230">
        <f t="shared" ref="Y23" si="13">(Y22/X22)-1</f>
        <v>1.464321534284041E-2</v>
      </c>
      <c r="Z23" s="230">
        <f t="shared" ref="Z23" si="14">(Z22/Y22)-1</f>
        <v>1.4431886126487159E-2</v>
      </c>
      <c r="AA23" s="246">
        <f t="shared" ref="AA23" si="15">(AA22/Z22)-1</f>
        <v>1.4226569889866036E-2</v>
      </c>
      <c r="AB23" s="243"/>
    </row>
    <row r="24" spans="1:50" s="97" customFormat="1" x14ac:dyDescent="0.2">
      <c r="B24" s="99" t="s">
        <v>178</v>
      </c>
      <c r="D24" s="103"/>
      <c r="E24" s="217"/>
      <c r="F24" s="217">
        <f t="shared" ref="F24" si="16">F21-F22</f>
        <v>5.2789999999999964</v>
      </c>
      <c r="G24" s="150">
        <f t="shared" ref="G24" si="17">G21-G22</f>
        <v>-19.325183093587441</v>
      </c>
      <c r="H24" s="217">
        <f t="shared" ref="H24" si="18">H21-H22</f>
        <v>9.8750841346420941</v>
      </c>
      <c r="I24" s="217">
        <f t="shared" ref="I24" si="19">I21-I22</f>
        <v>15.945084134642087</v>
      </c>
      <c r="J24" s="217">
        <f t="shared" ref="J24" si="20">J21-J22</f>
        <v>11.79870134442109</v>
      </c>
      <c r="K24" s="150">
        <f t="shared" ref="K24:AA24" si="21">K21-K22</f>
        <v>7.6523185542000931</v>
      </c>
      <c r="L24" s="217">
        <f t="shared" si="21"/>
        <v>48.624629834192262</v>
      </c>
      <c r="M24" s="239">
        <f t="shared" si="21"/>
        <v>48.039537083112265</v>
      </c>
      <c r="N24" s="217">
        <f t="shared" si="21"/>
        <v>48.201447180075093</v>
      </c>
      <c r="O24" s="150">
        <f t="shared" si="21"/>
        <v>48.363357277038176</v>
      </c>
      <c r="P24" s="217">
        <f t="shared" si="21"/>
        <v>47.839483460038394</v>
      </c>
      <c r="Q24" s="217">
        <f t="shared" si="21"/>
        <v>47.315609643038613</v>
      </c>
      <c r="R24" s="217">
        <f t="shared" si="21"/>
        <v>46.79173582603886</v>
      </c>
      <c r="S24" s="150">
        <f t="shared" si="21"/>
        <v>46.267862009039106</v>
      </c>
      <c r="T24" s="217">
        <f t="shared" si="21"/>
        <v>46.541498303630505</v>
      </c>
      <c r="U24" s="217">
        <f t="shared" si="21"/>
        <v>46.815134598221618</v>
      </c>
      <c r="V24" s="217">
        <f t="shared" si="21"/>
        <v>47.088770892812704</v>
      </c>
      <c r="W24" s="150">
        <f t="shared" si="21"/>
        <v>47.362407187404102</v>
      </c>
      <c r="X24" s="217">
        <f t="shared" si="21"/>
        <v>48.066251661202273</v>
      </c>
      <c r="Y24" s="217">
        <f t="shared" si="21"/>
        <v>48.770096135000415</v>
      </c>
      <c r="Z24" s="217">
        <f t="shared" si="21"/>
        <v>49.473940608798586</v>
      </c>
      <c r="AA24" s="150">
        <f t="shared" si="21"/>
        <v>50.177785082596728</v>
      </c>
      <c r="AB24" s="244"/>
    </row>
    <row r="25" spans="1:50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50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50" ht="19" x14ac:dyDescent="0.2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50" x14ac:dyDescent="0.2">
      <c r="B28" t="s">
        <v>187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181.80799999999999</v>
      </c>
      <c r="H28" s="104">
        <f>main!O113/1000</f>
        <v>205.47077000000002</v>
      </c>
      <c r="I28" s="104">
        <f>main!P113/1000</f>
        <v>189.83444692499995</v>
      </c>
      <c r="J28" s="104">
        <f>main!Q113/1000</f>
        <v>190.56361915962492</v>
      </c>
      <c r="K28" s="104">
        <f>main!R113/1000</f>
        <v>191.66284630332211</v>
      </c>
      <c r="L28" s="104">
        <f>main!S113/1000</f>
        <v>193.13947476635536</v>
      </c>
      <c r="M28" s="104">
        <f>L28*(1 + M30)</f>
        <v>196.2042669966979</v>
      </c>
      <c r="N28" s="104">
        <f t="shared" ref="N28:AA28" si="22">M28*(1 + N30)</f>
        <v>199.317692223618</v>
      </c>
      <c r="O28" s="104">
        <f t="shared" si="22"/>
        <v>202.24244934438255</v>
      </c>
      <c r="P28" s="104">
        <f t="shared" si="22"/>
        <v>204.96770153948481</v>
      </c>
      <c r="Q28" s="104">
        <f t="shared" si="22"/>
        <v>207.48311313521972</v>
      </c>
      <c r="R28" s="104">
        <f t="shared" si="22"/>
        <v>210.02939445066335</v>
      </c>
      <c r="S28" s="104">
        <f t="shared" si="22"/>
        <v>212.57340316117202</v>
      </c>
      <c r="T28" s="104">
        <f t="shared" si="22"/>
        <v>215.20826932562687</v>
      </c>
      <c r="U28" s="104">
        <f t="shared" si="22"/>
        <v>217.93399294402786</v>
      </c>
      <c r="V28" s="104">
        <f t="shared" si="22"/>
        <v>220.74231424783551</v>
      </c>
      <c r="W28" s="104">
        <f t="shared" si="22"/>
        <v>223.43499879207465</v>
      </c>
      <c r="X28" s="104">
        <f t="shared" si="22"/>
        <v>226.00378680820572</v>
      </c>
      <c r="Y28" s="104">
        <f t="shared" si="22"/>
        <v>228.56431505579476</v>
      </c>
      <c r="Z28" s="104">
        <f t="shared" si="22"/>
        <v>231.1165835348443</v>
      </c>
      <c r="AA28" s="104">
        <f t="shared" si="22"/>
        <v>233.66885201389252</v>
      </c>
      <c r="AB28" s="95"/>
    </row>
    <row r="29" spans="1:50" x14ac:dyDescent="0.2">
      <c r="B29" t="s">
        <v>177</v>
      </c>
      <c r="D29" s="102" t="e">
        <f>#REF!</f>
        <v>#REF!</v>
      </c>
      <c r="E29" s="104">
        <f t="shared" ref="E29:AA29" si="23">D11</f>
        <v>143</v>
      </c>
      <c r="F29" s="104">
        <f t="shared" si="23"/>
        <v>143.4</v>
      </c>
      <c r="G29" s="149">
        <f t="shared" si="23"/>
        <v>144.80000000000001</v>
      </c>
      <c r="H29" s="104">
        <f t="shared" si="23"/>
        <v>145.19999999999999</v>
      </c>
      <c r="I29" s="104">
        <f t="shared" si="23"/>
        <v>145.9</v>
      </c>
      <c r="J29" s="104">
        <f t="shared" si="23"/>
        <v>149.41818722510001</v>
      </c>
      <c r="K29" s="149">
        <f t="shared" si="23"/>
        <v>152.320866661883</v>
      </c>
      <c r="L29" s="223">
        <f t="shared" si="23"/>
        <v>154.737937585521</v>
      </c>
      <c r="M29" s="104">
        <f t="shared" si="23"/>
        <v>157.19336327944001</v>
      </c>
      <c r="N29" s="104">
        <f t="shared" si="23"/>
        <v>159.68775236806701</v>
      </c>
      <c r="O29" s="149">
        <f t="shared" si="23"/>
        <v>162.03098585440199</v>
      </c>
      <c r="P29" s="104">
        <f t="shared" si="23"/>
        <v>164.214381582182</v>
      </c>
      <c r="Q29" s="104">
        <f t="shared" si="23"/>
        <v>166.22965889912399</v>
      </c>
      <c r="R29" s="104">
        <f t="shared" si="23"/>
        <v>168.26966817087401</v>
      </c>
      <c r="S29" s="149">
        <f t="shared" si="23"/>
        <v>170.30785669520299</v>
      </c>
      <c r="T29" s="104">
        <f t="shared" si="23"/>
        <v>172.41883766682901</v>
      </c>
      <c r="U29" s="104">
        <f t="shared" si="23"/>
        <v>174.60261108575199</v>
      </c>
      <c r="V29" s="104">
        <f t="shared" si="23"/>
        <v>176.852559456764</v>
      </c>
      <c r="W29" s="149">
        <f t="shared" si="23"/>
        <v>179.00986289485201</v>
      </c>
      <c r="X29" s="104">
        <f t="shared" si="23"/>
        <v>181.06790390480799</v>
      </c>
      <c r="Y29" s="104">
        <f t="shared" si="23"/>
        <v>183.119327419554</v>
      </c>
      <c r="Z29" s="104">
        <f t="shared" si="23"/>
        <v>185.16413343909201</v>
      </c>
      <c r="AA29" s="149">
        <f t="shared" si="23"/>
        <v>187.208939458629</v>
      </c>
      <c r="AB29" s="95"/>
    </row>
    <row r="30" spans="1:50" s="170" customFormat="1" ht="12" x14ac:dyDescent="0.15">
      <c r="B30" s="210" t="s">
        <v>275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1.5868284999998483E-2</v>
      </c>
      <c r="N30" s="230">
        <f t="shared" ref="N30" si="25">(N29/M29)-1</f>
        <v>1.5868285000002036E-2</v>
      </c>
      <c r="O30" s="246">
        <f t="shared" ref="O30" si="26">(O29/N29)-1</f>
        <v>1.467384599999888E-2</v>
      </c>
      <c r="P30" s="230">
        <f t="shared" ref="P30" si="27">(P29/O29)-1</f>
        <v>1.3475174000002532E-2</v>
      </c>
      <c r="Q30" s="230">
        <f t="shared" ref="Q30" si="28">(Q29/P29)-1</f>
        <v>1.2272234000000992E-2</v>
      </c>
      <c r="R30" s="230">
        <f t="shared" ref="R30" si="29">(R29/Q29)-1</f>
        <v>1.2272233999998772E-2</v>
      </c>
      <c r="S30" s="246">
        <f t="shared" ref="S30" si="30">(S29/R29)-1</f>
        <v>1.2112631744535474E-2</v>
      </c>
      <c r="T30" s="230">
        <f t="shared" ref="T30" si="31">(T29/S29)-1</f>
        <v>1.2395088591855119E-2</v>
      </c>
      <c r="U30" s="230">
        <f t="shared" ref="U30" si="32">(U29/T29)-1</f>
        <v>1.2665515256185422E-2</v>
      </c>
      <c r="V30" s="230">
        <f t="shared" ref="V30" si="33">(V29/U29)-1</f>
        <v>1.2886109531930146E-2</v>
      </c>
      <c r="W30" s="246">
        <f t="shared" ref="W30" si="34">(W29/V29)-1</f>
        <v>1.2198316183348323E-2</v>
      </c>
      <c r="X30" s="230">
        <f t="shared" ref="X30" si="35">(X29/W29)-1</f>
        <v>1.149680233633199E-2</v>
      </c>
      <c r="Y30" s="230">
        <f t="shared" ref="Y30" si="36">(Y29/X29)-1</f>
        <v>1.1329581170965053E-2</v>
      </c>
      <c r="Z30" s="230">
        <f t="shared" ref="Z30" si="37">(Z29/Y29)-1</f>
        <v>1.1166522116221378E-2</v>
      </c>
      <c r="AA30" s="246">
        <f t="shared" ref="AA30" si="38">(AA29/Z29)-1</f>
        <v>1.1043207891066054E-2</v>
      </c>
      <c r="AB30" s="243"/>
    </row>
    <row r="31" spans="1:50" s="97" customFormat="1" x14ac:dyDescent="0.2">
      <c r="B31" s="99" t="s">
        <v>178</v>
      </c>
      <c r="D31" s="103"/>
      <c r="E31" s="217"/>
      <c r="F31" s="217">
        <f t="shared" ref="F31" si="39">F28-F29</f>
        <v>187.37699999999998</v>
      </c>
      <c r="G31" s="150">
        <f t="shared" ref="G31" si="40">G28-G29</f>
        <v>37.007999999999981</v>
      </c>
      <c r="H31" s="217">
        <f t="shared" ref="H31" si="41">H28-H29</f>
        <v>60.270770000000027</v>
      </c>
      <c r="I31" s="217">
        <f t="shared" ref="I31" si="42">I28-I29</f>
        <v>43.934446924999946</v>
      </c>
      <c r="J31" s="217">
        <f t="shared" ref="J31" si="43">J28-J29</f>
        <v>41.145431934524908</v>
      </c>
      <c r="K31" s="150">
        <f t="shared" ref="K31:N31" si="44">K28-K29</f>
        <v>39.34197964143911</v>
      </c>
      <c r="L31" s="239">
        <f t="shared" si="44"/>
        <v>38.401537180834367</v>
      </c>
      <c r="M31" s="217">
        <f t="shared" si="44"/>
        <v>39.010903717257889</v>
      </c>
      <c r="N31" s="217">
        <f t="shared" si="44"/>
        <v>39.629939855550987</v>
      </c>
      <c r="O31" s="150">
        <f t="shared" ref="O31:AA31" si="45">O28-O29</f>
        <v>40.211463489980559</v>
      </c>
      <c r="P31" s="150">
        <f t="shared" si="45"/>
        <v>40.753319957302807</v>
      </c>
      <c r="Q31" s="150">
        <f t="shared" si="45"/>
        <v>41.253454236095735</v>
      </c>
      <c r="R31" s="150">
        <f t="shared" si="45"/>
        <v>41.759726279789334</v>
      </c>
      <c r="S31" s="150">
        <f t="shared" si="45"/>
        <v>42.265546465969038</v>
      </c>
      <c r="T31" s="150">
        <f t="shared" si="45"/>
        <v>42.789431658797866</v>
      </c>
      <c r="U31" s="150">
        <f t="shared" si="45"/>
        <v>43.331381858275876</v>
      </c>
      <c r="V31" s="150">
        <f t="shared" si="45"/>
        <v>43.88975479107151</v>
      </c>
      <c r="W31" s="150">
        <f t="shared" si="45"/>
        <v>44.425135897222646</v>
      </c>
      <c r="X31" s="150">
        <f t="shared" si="45"/>
        <v>44.935882903397726</v>
      </c>
      <c r="Y31" s="150">
        <f t="shared" si="45"/>
        <v>45.444987636240768</v>
      </c>
      <c r="Z31" s="150">
        <f t="shared" si="45"/>
        <v>45.952450095752283</v>
      </c>
      <c r="AA31" s="150">
        <f t="shared" si="45"/>
        <v>46.459912555263514</v>
      </c>
      <c r="AB31" s="244"/>
    </row>
    <row r="32" spans="1:50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269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177</v>
      </c>
      <c r="D36" s="102" t="e">
        <f>#REF!</f>
        <v>#REF!</v>
      </c>
      <c r="E36" s="104">
        <f t="shared" ref="E36:K36" si="46">D12</f>
        <v>1862.4</v>
      </c>
      <c r="F36" s="104">
        <f t="shared" si="46"/>
        <v>1779.8</v>
      </c>
      <c r="G36" s="149">
        <f t="shared" si="46"/>
        <v>1871.3</v>
      </c>
      <c r="H36" s="104">
        <f t="shared" si="46"/>
        <v>1907.1</v>
      </c>
      <c r="I36" s="104">
        <f t="shared" si="46"/>
        <v>1958.3</v>
      </c>
      <c r="J36" s="104">
        <f t="shared" si="46"/>
        <v>1978.3751090344099</v>
      </c>
      <c r="K36" s="149">
        <f t="shared" si="46"/>
        <v>2007.0179878174299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178</v>
      </c>
      <c r="D37" s="103"/>
      <c r="E37" s="217"/>
      <c r="F37" s="217">
        <f>F35-F36</f>
        <v>91.548999999999978</v>
      </c>
      <c r="G37" s="150">
        <f t="shared" ref="G37:K37" si="47">G35-G36</f>
        <v>4.8999999999978172E-2</v>
      </c>
      <c r="H37" s="217">
        <f t="shared" si="47"/>
        <v>-3.3936816918451314</v>
      </c>
      <c r="I37" s="217">
        <f t="shared" si="47"/>
        <v>-35.078228538838857</v>
      </c>
      <c r="J37" s="217">
        <f t="shared" si="47"/>
        <v>-27.308967806727196</v>
      </c>
      <c r="K37" s="150">
        <f t="shared" si="47"/>
        <v>-30.015460859167206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269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177</v>
      </c>
      <c r="D42" s="102" t="e">
        <f>#REF!</f>
        <v>#REF!</v>
      </c>
      <c r="E42" s="104">
        <f t="shared" ref="E42:K42" si="48">D13</f>
        <v>62.7</v>
      </c>
      <c r="F42" s="104">
        <f t="shared" si="48"/>
        <v>54.2</v>
      </c>
      <c r="G42" s="149">
        <f t="shared" si="48"/>
        <v>90.2</v>
      </c>
      <c r="H42" s="104">
        <f t="shared" si="48"/>
        <v>95.9</v>
      </c>
      <c r="I42" s="104">
        <f t="shared" si="48"/>
        <v>95.9</v>
      </c>
      <c r="J42" s="104">
        <f t="shared" si="48"/>
        <v>96.883099094316506</v>
      </c>
      <c r="K42" s="149">
        <f t="shared" si="48"/>
        <v>98.285770837814496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178</v>
      </c>
      <c r="D43" s="103"/>
      <c r="E43" s="217"/>
      <c r="F43" s="217">
        <f>F41-F42</f>
        <v>36</v>
      </c>
      <c r="G43" s="150">
        <f t="shared" ref="G43:K43" si="49">G41-G42</f>
        <v>1.3174040991388836</v>
      </c>
      <c r="H43" s="217">
        <f t="shared" si="49"/>
        <v>-2.8001771349484841</v>
      </c>
      <c r="I43" s="217">
        <f t="shared" si="49"/>
        <v>-1.8457834796861619</v>
      </c>
      <c r="J43" s="217">
        <f t="shared" si="49"/>
        <v>-1.4671673408694517</v>
      </c>
      <c r="K43" s="150">
        <f t="shared" si="49"/>
        <v>-1.6014328737799701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188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1390.6101625906522</v>
      </c>
      <c r="I47" s="104">
        <f>main!P95/1000</f>
        <v>1418.489158978964</v>
      </c>
      <c r="J47" s="223">
        <f>main!Q95/1000</f>
        <v>1441.5834808422039</v>
      </c>
      <c r="K47" s="149">
        <f>J47*(1+K49)</f>
        <v>1432.6697394688263</v>
      </c>
      <c r="L47" s="104">
        <f t="shared" ref="L47:AA47" si="50">K47*(1+L49)</f>
        <v>1463.9187115963136</v>
      </c>
      <c r="M47" s="104">
        <f t="shared" si="50"/>
        <v>1495.1676837237908</v>
      </c>
      <c r="N47" s="104">
        <f t="shared" si="50"/>
        <v>1526.4166558512675</v>
      </c>
      <c r="O47" s="149">
        <f t="shared" si="50"/>
        <v>1557.6656279787549</v>
      </c>
      <c r="P47" s="104">
        <f t="shared" si="50"/>
        <v>1570.9157045925551</v>
      </c>
      <c r="Q47" s="104">
        <f t="shared" si="50"/>
        <v>1584.1657812063454</v>
      </c>
      <c r="R47" s="104">
        <f t="shared" si="50"/>
        <v>1597.4158578201457</v>
      </c>
      <c r="S47" s="149">
        <f t="shared" si="50"/>
        <v>1610.6659344339459</v>
      </c>
      <c r="T47" s="104">
        <f t="shared" si="50"/>
        <v>1621.5882038876039</v>
      </c>
      <c r="U47" s="104">
        <f t="shared" si="50"/>
        <v>1632.5104733412625</v>
      </c>
      <c r="V47" s="104">
        <f t="shared" si="50"/>
        <v>1643.4327427949102</v>
      </c>
      <c r="W47" s="149">
        <f t="shared" si="50"/>
        <v>1654.3550122485685</v>
      </c>
      <c r="X47" s="104">
        <f t="shared" si="50"/>
        <v>1695.1187934138443</v>
      </c>
      <c r="Y47" s="104">
        <f t="shared" si="50"/>
        <v>1735.8825745791305</v>
      </c>
      <c r="Z47" s="104">
        <f t="shared" si="50"/>
        <v>1776.6463557444063</v>
      </c>
      <c r="AA47" s="149">
        <f t="shared" si="50"/>
        <v>1817.4101369096823</v>
      </c>
      <c r="AB47" s="95"/>
    </row>
    <row r="48" spans="1:28" x14ac:dyDescent="0.2">
      <c r="B48" t="s">
        <v>177</v>
      </c>
      <c r="D48" s="102" t="e">
        <f>#REF!</f>
        <v>#REF!</v>
      </c>
      <c r="E48" s="104">
        <f t="shared" ref="E48:AA48" si="51">D14</f>
        <v>1228.1289999999999</v>
      </c>
      <c r="F48" s="104">
        <f t="shared" si="51"/>
        <v>1336.74</v>
      </c>
      <c r="G48" s="149">
        <f t="shared" si="51"/>
        <v>1328.7719999999999</v>
      </c>
      <c r="H48" s="104">
        <f t="shared" si="51"/>
        <v>1372.7929999999999</v>
      </c>
      <c r="I48" s="104">
        <f t="shared" si="51"/>
        <v>1403.2629999999999</v>
      </c>
      <c r="J48" s="223">
        <f t="shared" si="51"/>
        <v>1394.63952711825</v>
      </c>
      <c r="K48" s="149">
        <f t="shared" si="51"/>
        <v>1386.0160542364999</v>
      </c>
      <c r="L48" s="104">
        <f t="shared" si="51"/>
        <v>1416.24742986613</v>
      </c>
      <c r="M48" s="104">
        <f t="shared" si="51"/>
        <v>1446.4788054957501</v>
      </c>
      <c r="N48" s="104">
        <f t="shared" si="51"/>
        <v>1476.7101811253699</v>
      </c>
      <c r="O48" s="149">
        <f t="shared" si="51"/>
        <v>1506.941556755</v>
      </c>
      <c r="P48" s="104">
        <f t="shared" si="51"/>
        <v>1519.7601557667999</v>
      </c>
      <c r="Q48" s="104">
        <f t="shared" si="51"/>
        <v>1532.5787547785901</v>
      </c>
      <c r="R48" s="104">
        <f t="shared" si="51"/>
        <v>1545.3973537903901</v>
      </c>
      <c r="S48" s="149">
        <f t="shared" si="51"/>
        <v>1558.21595280219</v>
      </c>
      <c r="T48" s="104">
        <f t="shared" si="51"/>
        <v>1568.7825477363999</v>
      </c>
      <c r="U48" s="104">
        <f t="shared" si="51"/>
        <v>1579.34914267061</v>
      </c>
      <c r="V48" s="104">
        <f t="shared" si="51"/>
        <v>1589.9157376048099</v>
      </c>
      <c r="W48" s="149">
        <f t="shared" si="51"/>
        <v>1600.48233253902</v>
      </c>
      <c r="X48" s="104">
        <f t="shared" si="51"/>
        <v>1639.9186754518</v>
      </c>
      <c r="Y48" s="104">
        <f t="shared" si="51"/>
        <v>1679.35501836459</v>
      </c>
      <c r="Z48" s="104">
        <f t="shared" si="51"/>
        <v>1718.79136127737</v>
      </c>
      <c r="AA48" s="149">
        <f t="shared" si="51"/>
        <v>1758.22770419015</v>
      </c>
      <c r="AB48" s="95"/>
    </row>
    <row r="49" spans="1:32" s="170" customFormat="1" ht="12" x14ac:dyDescent="0.15">
      <c r="B49" s="210" t="s">
        <v>275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-6.1832987765439995E-3</v>
      </c>
      <c r="L49" s="230">
        <f t="shared" ref="L49" si="53">(L48/K48)-1</f>
        <v>2.1811706680615162E-2</v>
      </c>
      <c r="M49" s="230">
        <f t="shared" ref="M49" si="54">(M48/L48)-1</f>
        <v>2.1346111556564518E-2</v>
      </c>
      <c r="N49" s="230">
        <f t="shared" ref="N49" si="55">(N48/M48)-1</f>
        <v>2.0899978288488441E-2</v>
      </c>
      <c r="O49" s="246">
        <f t="shared" ref="O49" si="56">(O48/N48)-1</f>
        <v>2.0472111600525089E-2</v>
      </c>
      <c r="P49" s="230">
        <f t="shared" ref="P49" si="57">(P48/O48)-1</f>
        <v>8.5063677183361275E-3</v>
      </c>
      <c r="Q49" s="230">
        <f t="shared" ref="Q49" si="58">(Q48/P48)-1</f>
        <v>8.4346197412463741E-3</v>
      </c>
      <c r="R49" s="230">
        <f t="shared" ref="R49" si="59">(R48/Q48)-1</f>
        <v>8.3640719746580494E-3</v>
      </c>
      <c r="S49" s="246">
        <f t="shared" ref="S49" si="60">(S48/R48)-1</f>
        <v>8.2946945524138282E-3</v>
      </c>
      <c r="T49" s="230">
        <f t="shared" ref="T49" si="61">(T48/S48)-1</f>
        <v>6.781213422444754E-3</v>
      </c>
      <c r="U49" s="230">
        <f t="shared" ref="U49" si="62">(U48/T48)-1</f>
        <v>6.7355382997196234E-3</v>
      </c>
      <c r="V49" s="230">
        <f t="shared" ref="V49" si="63">(V48/U48)-1</f>
        <v>6.6904743534619282E-3</v>
      </c>
      <c r="W49" s="246">
        <f t="shared" ref="W49" si="64">(W48/V48)-1</f>
        <v>6.6460093980380552E-3</v>
      </c>
      <c r="X49" s="230">
        <f t="shared" ref="X49" si="65">(X48/W48)-1</f>
        <v>2.4640286313075244E-2</v>
      </c>
      <c r="Y49" s="230">
        <f t="shared" ref="Y49" si="66">(Y48/X48)-1</f>
        <v>2.4047743039407266E-2</v>
      </c>
      <c r="Z49" s="230">
        <f t="shared" ref="Z49" si="67">(Z48/Y48)-1</f>
        <v>2.3483029187708171E-2</v>
      </c>
      <c r="AA49" s="246">
        <f t="shared" ref="AA49" si="68">(AA48/Z48)-1</f>
        <v>2.2944229184088893E-2</v>
      </c>
      <c r="AB49" s="243"/>
    </row>
    <row r="50" spans="1:32" s="97" customFormat="1" x14ac:dyDescent="0.2">
      <c r="B50" s="99" t="s">
        <v>178</v>
      </c>
      <c r="D50" s="103"/>
      <c r="E50" s="217"/>
      <c r="F50" s="217">
        <f t="shared" ref="F50" si="69">F47-F48</f>
        <v>-7.9349999999999454</v>
      </c>
      <c r="G50" s="150">
        <f t="shared" ref="G50" si="70">G47-G48</f>
        <v>44.0150000000001</v>
      </c>
      <c r="H50" s="217">
        <f t="shared" ref="H50" si="71">H47-H48</f>
        <v>17.817162590652288</v>
      </c>
      <c r="I50" s="217">
        <f t="shared" ref="I50" si="72">I47-I48</f>
        <v>15.226158978964122</v>
      </c>
      <c r="J50" s="239">
        <f t="shared" ref="J50" si="73">J47-J48</f>
        <v>46.943953723953882</v>
      </c>
      <c r="K50" s="150">
        <f t="shared" ref="K50:AA50" si="74">K47-K48</f>
        <v>46.653685232326325</v>
      </c>
      <c r="L50" s="217">
        <f t="shared" si="74"/>
        <v>47.671281730183637</v>
      </c>
      <c r="M50" s="217">
        <f t="shared" si="74"/>
        <v>48.688878228040721</v>
      </c>
      <c r="N50" s="217">
        <f t="shared" si="74"/>
        <v>49.706474725897579</v>
      </c>
      <c r="O50" s="150">
        <f t="shared" si="74"/>
        <v>50.724071223754891</v>
      </c>
      <c r="P50" s="217">
        <f t="shared" si="74"/>
        <v>51.155548825755204</v>
      </c>
      <c r="Q50" s="217">
        <f t="shared" si="74"/>
        <v>51.587026427755291</v>
      </c>
      <c r="R50" s="217">
        <f t="shared" si="74"/>
        <v>52.018504029755604</v>
      </c>
      <c r="S50" s="150">
        <f t="shared" si="74"/>
        <v>52.449981631755918</v>
      </c>
      <c r="T50" s="217">
        <f t="shared" si="74"/>
        <v>52.805656151203948</v>
      </c>
      <c r="U50" s="217">
        <f t="shared" si="74"/>
        <v>53.161330670652433</v>
      </c>
      <c r="V50" s="217">
        <f t="shared" si="74"/>
        <v>53.517005190100235</v>
      </c>
      <c r="W50" s="150">
        <f t="shared" si="74"/>
        <v>53.872679709548493</v>
      </c>
      <c r="X50" s="217">
        <f t="shared" si="74"/>
        <v>55.20011796204426</v>
      </c>
      <c r="Y50" s="217">
        <f t="shared" si="74"/>
        <v>56.527556214540482</v>
      </c>
      <c r="Z50" s="217">
        <f t="shared" si="74"/>
        <v>57.854994467036249</v>
      </c>
      <c r="AA50" s="150">
        <f t="shared" si="74"/>
        <v>59.182432719532244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189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2027.7929999999999</v>
      </c>
      <c r="H54" s="104">
        <f>main!O94/1000</f>
        <v>3118.1238025000002</v>
      </c>
      <c r="I54" s="104">
        <f>main!P94/1000</f>
        <v>1874.8488739812499</v>
      </c>
      <c r="J54" s="104">
        <f>main!Q94/1000</f>
        <v>1686.4675074263907</v>
      </c>
      <c r="K54" s="263">
        <f>main!R94/1000</f>
        <v>1683.0445200377862</v>
      </c>
      <c r="L54" s="104">
        <f>K54*(1+L56)</f>
        <v>1667.9203390929572</v>
      </c>
      <c r="M54" s="104">
        <f t="shared" ref="M54:AA54" si="75">L54*(1+M56)</f>
        <v>1674.36711763622</v>
      </c>
      <c r="N54" s="104">
        <f t="shared" si="75"/>
        <v>1693.9994582650729</v>
      </c>
      <c r="O54" s="104">
        <f t="shared" si="75"/>
        <v>1713.6766104385861</v>
      </c>
      <c r="P54" s="104">
        <f t="shared" si="75"/>
        <v>1734.1963760327455</v>
      </c>
      <c r="Q54" s="104">
        <f t="shared" si="75"/>
        <v>1752.4572807193078</v>
      </c>
      <c r="R54" s="104">
        <f t="shared" si="75"/>
        <v>1770.8496413387511</v>
      </c>
      <c r="S54" s="104">
        <f t="shared" si="75"/>
        <v>1789.2476021359835</v>
      </c>
      <c r="T54" s="104">
        <f t="shared" si="75"/>
        <v>1804.6848275490047</v>
      </c>
      <c r="U54" s="104">
        <f t="shared" si="75"/>
        <v>1817.6047900078497</v>
      </c>
      <c r="V54" s="104">
        <f t="shared" si="75"/>
        <v>1828.4528550739351</v>
      </c>
      <c r="W54" s="104">
        <f t="shared" si="75"/>
        <v>1839.3023920371581</v>
      </c>
      <c r="X54" s="104">
        <f t="shared" si="75"/>
        <v>1876.4758448576536</v>
      </c>
      <c r="Y54" s="104">
        <f t="shared" si="75"/>
        <v>1916.6184850154502</v>
      </c>
      <c r="Z54" s="104">
        <f t="shared" si="75"/>
        <v>1957.4920795902369</v>
      </c>
      <c r="AA54" s="104">
        <f t="shared" si="75"/>
        <v>1998.3691100492481</v>
      </c>
      <c r="AB54" s="95"/>
    </row>
    <row r="55" spans="1:32" x14ac:dyDescent="0.2">
      <c r="B55" t="s">
        <v>177</v>
      </c>
      <c r="D55" s="102" t="e">
        <f>#REF!</f>
        <v>#REF!</v>
      </c>
      <c r="E55" s="104">
        <f t="shared" ref="E55:AA55" si="76">D15</f>
        <v>1574.4</v>
      </c>
      <c r="F55" s="104">
        <f t="shared" si="76"/>
        <v>2906.6</v>
      </c>
      <c r="G55" s="149">
        <f t="shared" si="76"/>
        <v>1877</v>
      </c>
      <c r="H55" s="104">
        <f t="shared" si="76"/>
        <v>1761.2</v>
      </c>
      <c r="I55" s="104">
        <f t="shared" si="76"/>
        <v>2358.93408</v>
      </c>
      <c r="J55" s="104">
        <f t="shared" si="76"/>
        <v>2170.3800089881402</v>
      </c>
      <c r="K55" s="263">
        <f t="shared" si="76"/>
        <v>1982.08465517323</v>
      </c>
      <c r="L55" s="104">
        <f t="shared" si="76"/>
        <v>1964.2732386504299</v>
      </c>
      <c r="M55" s="104">
        <f t="shared" si="76"/>
        <v>1971.8654684897299</v>
      </c>
      <c r="N55" s="104">
        <f t="shared" si="76"/>
        <v>1994.9860458971</v>
      </c>
      <c r="O55" s="149">
        <f t="shared" si="76"/>
        <v>2018.1593968787799</v>
      </c>
      <c r="P55" s="104">
        <f t="shared" si="76"/>
        <v>2042.3250752240101</v>
      </c>
      <c r="Q55" s="104">
        <f t="shared" si="76"/>
        <v>2063.8305425707699</v>
      </c>
      <c r="R55" s="104">
        <f t="shared" si="76"/>
        <v>2085.4908226894399</v>
      </c>
      <c r="S55" s="149">
        <f t="shared" si="76"/>
        <v>2107.1576980147902</v>
      </c>
      <c r="T55" s="104">
        <f t="shared" si="76"/>
        <v>2125.33778014887</v>
      </c>
      <c r="U55" s="104">
        <f t="shared" si="76"/>
        <v>2140.5533368558999</v>
      </c>
      <c r="V55" s="104">
        <f t="shared" si="76"/>
        <v>2153.32886539945</v>
      </c>
      <c r="W55" s="149">
        <f t="shared" si="76"/>
        <v>2166.1061273640098</v>
      </c>
      <c r="X55" s="104">
        <f t="shared" si="76"/>
        <v>2209.8844882677699</v>
      </c>
      <c r="Y55" s="104">
        <f t="shared" si="76"/>
        <v>2257.1595960427699</v>
      </c>
      <c r="Z55" s="104">
        <f t="shared" si="76"/>
        <v>2305.2955328192002</v>
      </c>
      <c r="AA55" s="149">
        <f t="shared" si="76"/>
        <v>2353.4355159612001</v>
      </c>
      <c r="AB55" s="95"/>
    </row>
    <row r="56" spans="1:32" s="170" customFormat="1" ht="12" x14ac:dyDescent="0.15">
      <c r="B56" s="210" t="s">
        <v>275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-8.9862037306591702E-3</v>
      </c>
      <c r="M56" s="230">
        <f t="shared" ref="M56" si="78">(M55/L55)-1</f>
        <v>3.865159739444568E-3</v>
      </c>
      <c r="N56" s="230">
        <f t="shared" ref="N56" si="79">(N55/M55)-1</f>
        <v>1.1725230639125783E-2</v>
      </c>
      <c r="O56" s="246">
        <f t="shared" ref="O56" si="80">(O55/N55)-1</f>
        <v>1.1615796024908809E-2</v>
      </c>
      <c r="P56" s="230">
        <f t="shared" ref="P56" si="81">(P55/O55)-1</f>
        <v>1.1974117793968064E-2</v>
      </c>
      <c r="Q56" s="230">
        <f t="shared" ref="Q56" si="82">(Q55/P55)-1</f>
        <v>1.0529894387357075E-2</v>
      </c>
      <c r="R56" s="230">
        <f t="shared" ref="R56" si="83">(R55/Q55)-1</f>
        <v>1.0495183432884581E-2</v>
      </c>
      <c r="S56" s="246">
        <f t="shared" ref="S56" si="84">(S55/R55)-1</f>
        <v>1.0389341007700503E-2</v>
      </c>
      <c r="T56" s="230">
        <f t="shared" ref="T56" si="85">(T55/S55)-1</f>
        <v>8.6277748225525031E-3</v>
      </c>
      <c r="U56" s="230">
        <f t="shared" ref="U56" si="86">(U55/T55)-1</f>
        <v>7.1591239986164013E-3</v>
      </c>
      <c r="V56" s="230">
        <f t="shared" ref="V56" si="87">(V55/U55)-1</f>
        <v>5.9683299283330715E-3</v>
      </c>
      <c r="W56" s="246">
        <f t="shared" ref="W56" si="88">(W55/V55)-1</f>
        <v>5.9337252984761335E-3</v>
      </c>
      <c r="X56" s="230">
        <f t="shared" ref="X56" si="89">(X55/W55)-1</f>
        <v>2.021062604030166E-2</v>
      </c>
      <c r="Y56" s="230">
        <f t="shared" ref="Y56" si="90">(Y55/X55)-1</f>
        <v>2.1392569623427171E-2</v>
      </c>
      <c r="Z56" s="230">
        <f t="shared" ref="Z56" si="91">(Z55/Y55)-1</f>
        <v>2.1325889786801833E-2</v>
      </c>
      <c r="AA56" s="246">
        <f t="shared" ref="AA56" si="92">(AA55/Z55)-1</f>
        <v>2.0882347819035862E-2</v>
      </c>
      <c r="AB56" s="243"/>
    </row>
    <row r="57" spans="1:32" s="97" customFormat="1" x14ac:dyDescent="0.2">
      <c r="B57" s="99" t="s">
        <v>178</v>
      </c>
      <c r="D57" s="103"/>
      <c r="E57" s="217"/>
      <c r="F57" s="217">
        <f t="shared" ref="F57" si="93">F54-F55</f>
        <v>-440.59899999999971</v>
      </c>
      <c r="G57" s="150">
        <f t="shared" ref="G57" si="94">G54-G55</f>
        <v>150.79299999999989</v>
      </c>
      <c r="H57" s="217">
        <f t="shared" ref="H57" si="95">H54-H55</f>
        <v>1356.9238025000002</v>
      </c>
      <c r="I57" s="217">
        <f t="shared" ref="I57" si="96">I54-I55</f>
        <v>-484.08520601875011</v>
      </c>
      <c r="J57" s="217">
        <f t="shared" ref="J57" si="97">J54-J55</f>
        <v>-483.91250156174942</v>
      </c>
      <c r="K57" s="264">
        <f t="shared" ref="K57" si="98">K54-K55</f>
        <v>-299.04013513544373</v>
      </c>
      <c r="L57" s="217">
        <f t="shared" ref="L57:AA57" si="99">L54-L55</f>
        <v>-296.35289955747271</v>
      </c>
      <c r="M57" s="217">
        <f t="shared" si="99"/>
        <v>-297.49835085350992</v>
      </c>
      <c r="N57" s="217">
        <f t="shared" si="99"/>
        <v>-300.98658763202707</v>
      </c>
      <c r="O57" s="150">
        <f t="shared" si="99"/>
        <v>-304.48278644019388</v>
      </c>
      <c r="P57" s="217">
        <f t="shared" si="99"/>
        <v>-308.12869919126456</v>
      </c>
      <c r="Q57" s="217">
        <f t="shared" si="99"/>
        <v>-311.37326185146208</v>
      </c>
      <c r="R57" s="217">
        <f t="shared" si="99"/>
        <v>-314.64118135068884</v>
      </c>
      <c r="S57" s="150">
        <f t="shared" si="99"/>
        <v>-317.91009587880671</v>
      </c>
      <c r="T57" s="217">
        <f t="shared" si="99"/>
        <v>-320.65295259986533</v>
      </c>
      <c r="U57" s="217">
        <f t="shared" si="99"/>
        <v>-322.94854684805023</v>
      </c>
      <c r="V57" s="217">
        <f t="shared" si="99"/>
        <v>-324.87601032551493</v>
      </c>
      <c r="W57" s="150">
        <f t="shared" si="99"/>
        <v>-326.80373532685167</v>
      </c>
      <c r="X57" s="217">
        <f t="shared" si="99"/>
        <v>-333.40864341011638</v>
      </c>
      <c r="Y57" s="217">
        <f t="shared" si="99"/>
        <v>-340.54111102731963</v>
      </c>
      <c r="Z57" s="217">
        <f t="shared" si="99"/>
        <v>-347.80345322896324</v>
      </c>
      <c r="AA57" s="150">
        <f t="shared" si="99"/>
        <v>-355.06640591195196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209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853.25025000000005</v>
      </c>
      <c r="I61" s="104">
        <f>main!P54/1000</f>
        <v>847.38358333333338</v>
      </c>
      <c r="J61" s="104">
        <f>main!Q54/1000</f>
        <v>107.41691666666667</v>
      </c>
      <c r="K61" s="149">
        <f>main!R54/1000</f>
        <v>102.75024999999999</v>
      </c>
      <c r="L61" s="223">
        <f>main!S54/1000</f>
        <v>77.330250000000007</v>
      </c>
      <c r="M61" s="231">
        <f>L61*(1+M63)</f>
        <v>77.707459291010863</v>
      </c>
      <c r="N61" s="231">
        <f>M61*(1+N63)</f>
        <v>78.082323239279987</v>
      </c>
      <c r="O61" s="247">
        <f>N61*(1+O63)</f>
        <v>78.451323830693795</v>
      </c>
      <c r="P61" s="231">
        <f>O61*(1+P63)</f>
        <v>78.817979079365657</v>
      </c>
      <c r="Q61" s="231">
        <f t="shared" ref="Q61:AA61" si="100">P61*(1+Q63)</f>
        <v>79.183852547123493</v>
      </c>
      <c r="R61" s="231">
        <f t="shared" si="100"/>
        <v>79.550898686252381</v>
      </c>
      <c r="S61" s="247">
        <f t="shared" si="100"/>
        <v>79.921462839494282</v>
      </c>
      <c r="T61" s="231">
        <f t="shared" si="100"/>
        <v>80.295545006849167</v>
      </c>
      <c r="U61" s="231">
        <f t="shared" si="100"/>
        <v>80.671972516946198</v>
      </c>
      <c r="V61" s="231">
        <f t="shared" si="100"/>
        <v>81.047618246129176</v>
      </c>
      <c r="W61" s="247">
        <f t="shared" si="100"/>
        <v>81.424436646683219</v>
      </c>
      <c r="X61" s="231">
        <f t="shared" si="100"/>
        <v>81.802036828151302</v>
      </c>
      <c r="Y61" s="231">
        <f t="shared" si="100"/>
        <v>82.179246119162173</v>
      </c>
      <c r="Z61" s="231">
        <f t="shared" si="100"/>
        <v>82.551764724689164</v>
      </c>
      <c r="AA61" s="247">
        <f t="shared" si="100"/>
        <v>82.921547097017012</v>
      </c>
      <c r="AB61" s="95"/>
    </row>
    <row r="62" spans="1:32" x14ac:dyDescent="0.2">
      <c r="B62" t="s">
        <v>177</v>
      </c>
      <c r="D62" s="102" t="e">
        <f>#REF!</f>
        <v>#REF!</v>
      </c>
      <c r="E62" s="104">
        <f t="shared" ref="E62:AA62" si="101">D16</f>
        <v>74.5</v>
      </c>
      <c r="F62" s="104">
        <f t="shared" si="101"/>
        <v>1085.9000000000001</v>
      </c>
      <c r="G62" s="149">
        <f t="shared" si="101"/>
        <v>1212.9000000000001</v>
      </c>
      <c r="H62" s="104">
        <f t="shared" si="101"/>
        <v>609.79999999999995</v>
      </c>
      <c r="I62" s="104">
        <f t="shared" si="101"/>
        <v>402.3</v>
      </c>
      <c r="J62" s="104">
        <f t="shared" si="101"/>
        <v>404.18538158623397</v>
      </c>
      <c r="K62" s="149">
        <f t="shared" si="101"/>
        <v>406.11408156777497</v>
      </c>
      <c r="L62" s="223">
        <f t="shared" si="101"/>
        <v>408.08197438316603</v>
      </c>
      <c r="M62" s="104">
        <f t="shared" si="101"/>
        <v>410.07255778657401</v>
      </c>
      <c r="N62" s="104">
        <f t="shared" si="101"/>
        <v>412.05076450561</v>
      </c>
      <c r="O62" s="149">
        <f t="shared" si="101"/>
        <v>413.998029513711</v>
      </c>
      <c r="P62" s="104">
        <f t="shared" si="101"/>
        <v>415.93291783743899</v>
      </c>
      <c r="Q62" s="104">
        <f t="shared" si="101"/>
        <v>417.86368059970903</v>
      </c>
      <c r="R62" s="104">
        <f t="shared" si="101"/>
        <v>419.80063170416599</v>
      </c>
      <c r="S62" s="149">
        <f t="shared" si="101"/>
        <v>421.75614783518301</v>
      </c>
      <c r="T62" s="104">
        <f t="shared" si="101"/>
        <v>423.73022899275998</v>
      </c>
      <c r="U62" s="104">
        <f t="shared" si="101"/>
        <v>425.71668683471103</v>
      </c>
      <c r="V62" s="104">
        <f t="shared" si="101"/>
        <v>427.69901911520401</v>
      </c>
      <c r="W62" s="149">
        <f t="shared" si="101"/>
        <v>429.68753973788398</v>
      </c>
      <c r="X62" s="104">
        <f t="shared" si="101"/>
        <v>431.68018592202202</v>
      </c>
      <c r="Y62" s="104">
        <f t="shared" si="101"/>
        <v>433.67076932543</v>
      </c>
      <c r="Z62" s="104">
        <f t="shared" si="101"/>
        <v>435.63659936009202</v>
      </c>
      <c r="AA62" s="149">
        <f t="shared" si="101"/>
        <v>437.58798992965097</v>
      </c>
      <c r="AB62" s="95"/>
    </row>
    <row r="63" spans="1:32" s="170" customFormat="1" ht="12" x14ac:dyDescent="0.15">
      <c r="B63" s="210" t="s">
        <v>275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4.877900834548754E-3</v>
      </c>
      <c r="N63" s="230">
        <f t="shared" si="102"/>
        <v>4.8240407251674E-3</v>
      </c>
      <c r="O63" s="246">
        <f t="shared" si="102"/>
        <v>4.7257890916363454E-3</v>
      </c>
      <c r="P63" s="230">
        <f t="shared" si="102"/>
        <v>4.6736655389416626E-3</v>
      </c>
      <c r="Q63" s="230">
        <f t="shared" si="102"/>
        <v>4.6420051875399881E-3</v>
      </c>
      <c r="R63" s="230">
        <f t="shared" si="102"/>
        <v>4.6353660162019583E-3</v>
      </c>
      <c r="S63" s="246">
        <f t="shared" si="102"/>
        <v>4.6582019733478752E-3</v>
      </c>
      <c r="T63" s="230">
        <f t="shared" si="102"/>
        <v>4.6806221265762726E-3</v>
      </c>
      <c r="U63" s="230">
        <f t="shared" si="102"/>
        <v>4.6880248470189123E-3</v>
      </c>
      <c r="V63" s="230">
        <f t="shared" si="102"/>
        <v>4.6564589592013039E-3</v>
      </c>
      <c r="W63" s="246">
        <f t="shared" si="102"/>
        <v>4.6493457637422075E-3</v>
      </c>
      <c r="X63" s="230">
        <f t="shared" si="102"/>
        <v>4.637430690574762E-3</v>
      </c>
      <c r="Y63" s="230">
        <f t="shared" si="102"/>
        <v>4.6112457053277822E-3</v>
      </c>
      <c r="Z63" s="230">
        <f t="shared" si="102"/>
        <v>4.5330010083912686E-3</v>
      </c>
      <c r="AA63" s="246">
        <f t="shared" si="102"/>
        <v>4.4793999687477992E-3</v>
      </c>
      <c r="AB63" s="243"/>
    </row>
    <row r="64" spans="1:32" s="97" customFormat="1" x14ac:dyDescent="0.2">
      <c r="B64" s="99" t="s">
        <v>178</v>
      </c>
      <c r="D64" s="103"/>
      <c r="E64" s="217"/>
      <c r="F64" s="217">
        <f>F61-F62</f>
        <v>127.57999999999993</v>
      </c>
      <c r="G64" s="150">
        <f t="shared" ref="G64:AA64" si="103">G61-G62</f>
        <v>-602.36400000000015</v>
      </c>
      <c r="H64" s="217">
        <f t="shared" si="103"/>
        <v>243.4502500000001</v>
      </c>
      <c r="I64" s="217">
        <f t="shared" si="103"/>
        <v>445.08358333333337</v>
      </c>
      <c r="J64" s="217">
        <f t="shared" si="103"/>
        <v>-296.76846491956729</v>
      </c>
      <c r="K64" s="150">
        <f t="shared" si="103"/>
        <v>-303.36383156777498</v>
      </c>
      <c r="L64" s="217">
        <f t="shared" si="103"/>
        <v>-330.75172438316599</v>
      </c>
      <c r="M64" s="217">
        <f t="shared" si="103"/>
        <v>-332.36509849556313</v>
      </c>
      <c r="N64" s="217">
        <f t="shared" si="103"/>
        <v>-333.96844126633005</v>
      </c>
      <c r="O64" s="150">
        <f t="shared" si="103"/>
        <v>-335.54670568301719</v>
      </c>
      <c r="P64" s="217">
        <f t="shared" si="103"/>
        <v>-337.11493875807332</v>
      </c>
      <c r="Q64" s="217">
        <f t="shared" si="103"/>
        <v>-338.67982805258555</v>
      </c>
      <c r="R64" s="217">
        <f t="shared" si="103"/>
        <v>-340.24973301791363</v>
      </c>
      <c r="S64" s="150">
        <f t="shared" si="103"/>
        <v>-341.83468499568875</v>
      </c>
      <c r="T64" s="217">
        <f t="shared" si="103"/>
        <v>-343.43468398591079</v>
      </c>
      <c r="U64" s="217">
        <f t="shared" si="103"/>
        <v>-345.04471431776483</v>
      </c>
      <c r="V64" s="217">
        <f t="shared" si="103"/>
        <v>-346.65140086907485</v>
      </c>
      <c r="W64" s="150">
        <f t="shared" si="103"/>
        <v>-348.26310309120078</v>
      </c>
      <c r="X64" s="217">
        <f t="shared" si="103"/>
        <v>-349.87814909387072</v>
      </c>
      <c r="Y64" s="217">
        <f t="shared" si="103"/>
        <v>-351.49152320626786</v>
      </c>
      <c r="Z64" s="217">
        <f t="shared" si="103"/>
        <v>-353.08483463540284</v>
      </c>
      <c r="AA64" s="150">
        <f t="shared" si="103"/>
        <v>-354.66644283263395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207</v>
      </c>
      <c r="D68" s="100"/>
      <c r="E68" s="218">
        <f>main!L83/1000</f>
        <v>283.95</v>
      </c>
      <c r="F68" s="218">
        <f>main!M83/1000</f>
        <v>291.39999999999998</v>
      </c>
      <c r="G68" s="151">
        <f>main!N83/1000</f>
        <v>294.15100000000001</v>
      </c>
      <c r="H68" s="218">
        <f>main!O83/1000</f>
        <v>322.63880399999999</v>
      </c>
      <c r="I68" s="218">
        <f>main!P83/1000</f>
        <v>324.529759216</v>
      </c>
      <c r="J68" s="218">
        <f>main!Q83/1000</f>
        <v>319.32387825286401</v>
      </c>
      <c r="K68" s="151">
        <f>main!R83/1000</f>
        <v>319.12117376587548</v>
      </c>
      <c r="L68" s="218">
        <f>main!S83/1000</f>
        <v>309.92165846093894</v>
      </c>
      <c r="M68" s="218">
        <f>main!T83/1000</f>
        <v>310.72534509478271</v>
      </c>
      <c r="N68" s="218">
        <f>main!U83/1000</f>
        <v>311.53224647516186</v>
      </c>
      <c r="O68" s="151">
        <f>main!V83/1000</f>
        <v>312.34237546106249</v>
      </c>
      <c r="P68" s="248">
        <f>main!W83/1000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333.75381284849135</v>
      </c>
      <c r="U68" s="248">
        <f t="shared" si="104"/>
        <v>337.06642502343362</v>
      </c>
      <c r="V68" s="248">
        <f t="shared" si="104"/>
        <v>340.40317593128771</v>
      </c>
      <c r="W68" s="249">
        <f t="shared" si="104"/>
        <v>343.7807388743006</v>
      </c>
      <c r="X68" s="248">
        <f t="shared" si="104"/>
        <v>347.19501060583724</v>
      </c>
      <c r="Y68" s="248">
        <f t="shared" si="104"/>
        <v>350.62442022301775</v>
      </c>
      <c r="Z68" s="248">
        <f t="shared" si="104"/>
        <v>354.07320296989764</v>
      </c>
      <c r="AA68" s="249">
        <f t="shared" si="104"/>
        <v>357.53837889172672</v>
      </c>
      <c r="AB68" s="95"/>
    </row>
    <row r="69" spans="1:28" x14ac:dyDescent="0.2">
      <c r="B69" t="s">
        <v>177</v>
      </c>
      <c r="D69" s="102" t="e">
        <f>#REF!</f>
        <v>#REF!</v>
      </c>
      <c r="E69" s="104">
        <f t="shared" ref="E69:AA69" si="105">D17</f>
        <v>204.37100000000001</v>
      </c>
      <c r="F69" s="104">
        <f t="shared" si="105"/>
        <v>884.26</v>
      </c>
      <c r="G69" s="149">
        <f t="shared" si="105"/>
        <v>242.12799999999999</v>
      </c>
      <c r="H69" s="104">
        <f t="shared" si="105"/>
        <v>225.90700000000001</v>
      </c>
      <c r="I69" s="104">
        <f t="shared" si="105"/>
        <v>260.73700000000002</v>
      </c>
      <c r="J69" s="104">
        <f t="shared" si="105"/>
        <v>255.59948840017799</v>
      </c>
      <c r="K69" s="149">
        <f t="shared" si="105"/>
        <v>254.55541346215</v>
      </c>
      <c r="L69" s="104">
        <f t="shared" si="105"/>
        <v>256.89572380491899</v>
      </c>
      <c r="M69" s="104">
        <f t="shared" si="105"/>
        <v>259.47104592492298</v>
      </c>
      <c r="N69" s="104">
        <f t="shared" si="105"/>
        <v>261.94028245643398</v>
      </c>
      <c r="O69" s="149">
        <f t="shared" si="105"/>
        <v>264.42386516359801</v>
      </c>
      <c r="P69" s="231">
        <f t="shared" si="105"/>
        <v>266.96509198785299</v>
      </c>
      <c r="Q69" s="231">
        <f t="shared" si="105"/>
        <v>269.50680093709798</v>
      </c>
      <c r="R69" s="231">
        <f t="shared" si="105"/>
        <v>272.09622896230098</v>
      </c>
      <c r="S69" s="245">
        <f t="shared" si="105"/>
        <v>274.73279727509299</v>
      </c>
      <c r="T69" s="231">
        <f t="shared" si="105"/>
        <v>277.43299355096599</v>
      </c>
      <c r="U69" s="231">
        <f t="shared" si="105"/>
        <v>280.18660377739002</v>
      </c>
      <c r="V69" s="231">
        <f t="shared" si="105"/>
        <v>282.96027933542803</v>
      </c>
      <c r="W69" s="247">
        <f t="shared" si="105"/>
        <v>285.76787991439801</v>
      </c>
      <c r="X69" s="231">
        <f t="shared" si="105"/>
        <v>288.60599468885499</v>
      </c>
      <c r="Y69" s="231">
        <f t="shared" si="105"/>
        <v>291.45669283695003</v>
      </c>
      <c r="Z69" s="231">
        <f t="shared" si="105"/>
        <v>294.32349490703803</v>
      </c>
      <c r="AA69" s="247">
        <f t="shared" si="105"/>
        <v>297.203923810513</v>
      </c>
      <c r="AB69" s="95"/>
    </row>
    <row r="70" spans="1:28" s="170" customFormat="1" ht="12" x14ac:dyDescent="0.15">
      <c r="B70" s="210" t="s">
        <v>275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6">(Q69/P69)-1</f>
        <v>9.5207539319808188E-3</v>
      </c>
      <c r="R70" s="230">
        <f t="shared" ref="R70" si="107">(R69/Q69)-1</f>
        <v>9.6080247926930706E-3</v>
      </c>
      <c r="S70" s="246">
        <f t="shared" ref="S70" si="108">(S69/R69)-1</f>
        <v>9.6898377564700322E-3</v>
      </c>
      <c r="T70" s="230">
        <f t="shared" ref="T70" si="109">(T69/S69)-1</f>
        <v>9.8284453208885569E-3</v>
      </c>
      <c r="U70" s="230">
        <f t="shared" ref="U70" si="110">(U69/T69)-1</f>
        <v>9.9253163482091455E-3</v>
      </c>
      <c r="V70" s="230">
        <f t="shared" ref="V70" si="111">(V69/U69)-1</f>
        <v>9.8993867681187453E-3</v>
      </c>
      <c r="W70" s="246">
        <f t="shared" ref="W70" si="112">(W69/V69)-1</f>
        <v>9.9222427457452689E-3</v>
      </c>
      <c r="X70" s="230">
        <f t="shared" ref="X70" si="113">(X69/W69)-1</f>
        <v>9.9315387555352075E-3</v>
      </c>
      <c r="Y70" s="230">
        <f t="shared" ref="Y70" si="114">(Y69/X69)-1</f>
        <v>9.877473789719371E-3</v>
      </c>
      <c r="Z70" s="230">
        <f t="shared" ref="Z70" si="115">(Z69/Y69)-1</f>
        <v>9.8361167903999736E-3</v>
      </c>
      <c r="AA70" s="246">
        <f t="shared" ref="AA70" si="116">(AA69/Z69)-1</f>
        <v>9.7866087937856783E-3</v>
      </c>
      <c r="AB70" s="243"/>
    </row>
    <row r="71" spans="1:28" s="97" customFormat="1" x14ac:dyDescent="0.2">
      <c r="B71" s="99" t="s">
        <v>178</v>
      </c>
      <c r="D71" s="103"/>
      <c r="E71" s="217"/>
      <c r="F71" s="217">
        <f>F68-F69</f>
        <v>-592.86</v>
      </c>
      <c r="G71" s="150">
        <f t="shared" ref="G71:K71" si="117">G68-G69</f>
        <v>52.023000000000025</v>
      </c>
      <c r="H71" s="217">
        <f t="shared" si="117"/>
        <v>96.731803999999983</v>
      </c>
      <c r="I71" s="217">
        <f t="shared" si="117"/>
        <v>63.792759215999979</v>
      </c>
      <c r="J71" s="217">
        <f t="shared" si="117"/>
        <v>63.724389852686016</v>
      </c>
      <c r="K71" s="150">
        <f t="shared" si="117"/>
        <v>64.565760303725483</v>
      </c>
      <c r="L71" s="217">
        <f t="shared" ref="L71:N71" si="118">L68-L69</f>
        <v>53.025934656019956</v>
      </c>
      <c r="M71" s="217">
        <f t="shared" si="118"/>
        <v>51.254299169859735</v>
      </c>
      <c r="N71" s="217">
        <f t="shared" si="118"/>
        <v>49.591964018727879</v>
      </c>
      <c r="O71" s="150">
        <f t="shared" ref="O71:AA71" si="119">O68-O69</f>
        <v>47.918510297464479</v>
      </c>
      <c r="P71" s="250">
        <f t="shared" si="119"/>
        <v>46.190652975053695</v>
      </c>
      <c r="Q71" s="250">
        <f t="shared" si="119"/>
        <v>60.998657088929349</v>
      </c>
      <c r="R71" s="250">
        <f t="shared" si="119"/>
        <v>58.409229063726343</v>
      </c>
      <c r="S71" s="239">
        <f t="shared" si="119"/>
        <v>55.772660750934335</v>
      </c>
      <c r="T71" s="250">
        <f t="shared" si="119"/>
        <v>56.320819297525361</v>
      </c>
      <c r="U71" s="250">
        <f t="shared" si="119"/>
        <v>56.879821246043605</v>
      </c>
      <c r="V71" s="250">
        <f t="shared" si="119"/>
        <v>57.442896595859679</v>
      </c>
      <c r="W71" s="251">
        <f t="shared" si="119"/>
        <v>58.012858959902587</v>
      </c>
      <c r="X71" s="250">
        <f t="shared" si="119"/>
        <v>58.589015916982248</v>
      </c>
      <c r="Y71" s="250">
        <f t="shared" si="119"/>
        <v>59.167727386067725</v>
      </c>
      <c r="Z71" s="250">
        <f t="shared" si="119"/>
        <v>59.749708062859611</v>
      </c>
      <c r="AA71" s="251">
        <f t="shared" si="119"/>
        <v>60.334455081213719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N1" activePane="topRight" state="frozen"/>
      <selection pane="topRight" activeCell="Q1" sqref="Q1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254</v>
      </c>
      <c r="B1" t="s">
        <v>247</v>
      </c>
      <c r="C1" t="s">
        <v>248</v>
      </c>
      <c r="D1" t="s">
        <v>393</v>
      </c>
      <c r="E1" t="s">
        <v>250</v>
      </c>
      <c r="F1" t="s">
        <v>251</v>
      </c>
      <c r="G1" t="s">
        <v>252</v>
      </c>
      <c r="H1" t="s">
        <v>253</v>
      </c>
      <c r="I1" t="s">
        <v>284</v>
      </c>
      <c r="J1" t="s">
        <v>394</v>
      </c>
      <c r="K1" t="s">
        <v>396</v>
      </c>
      <c r="L1" t="s">
        <v>395</v>
      </c>
      <c r="M1" t="s">
        <v>397</v>
      </c>
      <c r="N1" t="s">
        <v>340</v>
      </c>
      <c r="O1" t="s">
        <v>353</v>
      </c>
      <c r="P1" t="s">
        <v>364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283.95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5.2789999999999964</v>
      </c>
      <c r="C3">
        <f t="array" ref="C3:C24">TRANSPOSE('add-ons calculations'!F31:AA31)</f>
        <v>187.37699999999998</v>
      </c>
      <c r="D3">
        <f t="array" ref="D3:D24">TRANSPOSE('add-ons calculations'!F37:AA37)</f>
        <v>91.548999999999978</v>
      </c>
      <c r="E3">
        <f t="array" ref="E3:E24">TRANSPOSE('add-ons calculations'!F43:AA43)</f>
        <v>36</v>
      </c>
      <c r="F3">
        <f t="array" ref="F3:F24">TRANSPOSE('add-ons calculations'!F50:AA50)</f>
        <v>-7.9349999999999454</v>
      </c>
      <c r="G3">
        <f t="array" ref="G3:G24">TRANSPOSE('add-ons calculations'!F57:AA57)</f>
        <v>-440.59899999999971</v>
      </c>
      <c r="H3">
        <f t="array" ref="H3:H24">TRANSPOSE('add-ons calculations'!F64:AA64)</f>
        <v>127.57999999999993</v>
      </c>
      <c r="I3">
        <f t="array" ref="I3:I24">TRANSPOSE('add-ons calculations'!F71:AA71)</f>
        <v>-592.86</v>
      </c>
      <c r="J3"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-19.325183093587441</v>
      </c>
      <c r="C4">
        <v>37.007999999999981</v>
      </c>
      <c r="D4">
        <v>4.8999999999978172E-2</v>
      </c>
      <c r="E4">
        <v>1.3174040991388836</v>
      </c>
      <c r="F4">
        <v>44.0150000000001</v>
      </c>
      <c r="G4">
        <v>150.79299999999989</v>
      </c>
      <c r="H4">
        <v>-602.36400000000015</v>
      </c>
      <c r="I4">
        <v>52.023000000000025</v>
      </c>
      <c r="J4">
        <v>294.15100000000001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9.8750841346420941</v>
      </c>
      <c r="C5">
        <v>60.270770000000027</v>
      </c>
      <c r="D5">
        <v>-3.3936816918451314</v>
      </c>
      <c r="E5">
        <v>-2.8001771349484841</v>
      </c>
      <c r="F5">
        <v>17.817162590652288</v>
      </c>
      <c r="G5">
        <v>1356.9238025000002</v>
      </c>
      <c r="H5">
        <v>243.4502500000001</v>
      </c>
      <c r="I5">
        <v>96.731803999999983</v>
      </c>
      <c r="J5">
        <v>322.63880399999999</v>
      </c>
      <c r="K5" s="102">
        <v>544.4</v>
      </c>
      <c r="L5" s="102">
        <v>473.5</v>
      </c>
      <c r="M5" s="102">
        <f t="shared" si="0"/>
        <v>70.899999999999977</v>
      </c>
      <c r="N5">
        <v>0</v>
      </c>
      <c r="O5" s="102">
        <v>0</v>
      </c>
      <c r="P5" s="296">
        <f>main!$O$37/1000</f>
        <v>664</v>
      </c>
    </row>
    <row r="6" spans="1:16" x14ac:dyDescent="0.2">
      <c r="A6" s="188">
        <v>44377</v>
      </c>
      <c r="B6">
        <v>15.945084134642087</v>
      </c>
      <c r="C6">
        <v>43.934446924999946</v>
      </c>
      <c r="D6">
        <v>-35.078228538838857</v>
      </c>
      <c r="E6">
        <v>-1.8457834796861619</v>
      </c>
      <c r="F6">
        <v>15.226158978964122</v>
      </c>
      <c r="G6">
        <v>-484.08520601875011</v>
      </c>
      <c r="H6">
        <v>445.08358333333337</v>
      </c>
      <c r="I6">
        <v>63.792759215999979</v>
      </c>
      <c r="J6">
        <v>324.529759216</v>
      </c>
      <c r="K6" s="102">
        <f t="shared" ref="K6:K24" si="1">SUM(L6:M6)</f>
        <v>152</v>
      </c>
      <c r="L6" s="102">
        <f>main!P$42/1000</f>
        <v>108</v>
      </c>
      <c r="M6" s="102">
        <f>main!P$46/1000</f>
        <v>44</v>
      </c>
      <c r="N6">
        <v>0</v>
      </c>
      <c r="O6">
        <f>26.5 + 14/4</f>
        <v>30</v>
      </c>
      <c r="P6">
        <v>0</v>
      </c>
    </row>
    <row r="7" spans="1:16" x14ac:dyDescent="0.2">
      <c r="A7" s="188">
        <v>44469</v>
      </c>
      <c r="B7">
        <v>11.79870134442109</v>
      </c>
      <c r="C7">
        <v>41.145431934524908</v>
      </c>
      <c r="D7">
        <v>-27.308967806727196</v>
      </c>
      <c r="E7">
        <v>-1.4671673408694517</v>
      </c>
      <c r="F7">
        <v>46.943953723953882</v>
      </c>
      <c r="G7">
        <v>-483.91250156174942</v>
      </c>
      <c r="H7">
        <v>-296.76846491956729</v>
      </c>
      <c r="I7">
        <v>63.724389852686016</v>
      </c>
      <c r="J7">
        <v>319.32387825286401</v>
      </c>
      <c r="K7" s="102">
        <f t="shared" si="1"/>
        <v>44</v>
      </c>
      <c r="L7" s="102">
        <f>main!Q$42</f>
        <v>0</v>
      </c>
      <c r="M7" s="102">
        <f>main!Q$46/1000</f>
        <v>44</v>
      </c>
      <c r="N7">
        <v>0</v>
      </c>
      <c r="O7">
        <f t="shared" ref="O7:O9" si="2">26.5 + 14/4</f>
        <v>30</v>
      </c>
      <c r="P7">
        <v>0</v>
      </c>
    </row>
    <row r="8" spans="1:16" x14ac:dyDescent="0.2">
      <c r="A8" s="188">
        <v>44561</v>
      </c>
      <c r="B8">
        <v>7.6523185542000931</v>
      </c>
      <c r="C8">
        <v>39.34197964143911</v>
      </c>
      <c r="D8">
        <v>-30.015460859167206</v>
      </c>
      <c r="E8">
        <v>-1.6014328737799701</v>
      </c>
      <c r="F8">
        <v>46.653685232326325</v>
      </c>
      <c r="G8">
        <v>-299.04013513544373</v>
      </c>
      <c r="H8">
        <v>-303.36383156777498</v>
      </c>
      <c r="I8">
        <v>64.565760303725483</v>
      </c>
      <c r="J8">
        <v>319.12117376587548</v>
      </c>
      <c r="K8" s="102">
        <f t="shared" si="1"/>
        <v>44</v>
      </c>
      <c r="L8" s="102">
        <f>main!R$42</f>
        <v>0</v>
      </c>
      <c r="M8" s="102">
        <f>main!R$46/1000</f>
        <v>44</v>
      </c>
      <c r="N8">
        <v>0</v>
      </c>
      <c r="O8">
        <f t="shared" si="2"/>
        <v>30</v>
      </c>
      <c r="P8">
        <v>0</v>
      </c>
    </row>
    <row r="9" spans="1:16" x14ac:dyDescent="0.2">
      <c r="A9" s="188">
        <v>44651</v>
      </c>
      <c r="B9">
        <v>48.624629834192262</v>
      </c>
      <c r="C9">
        <v>38.401537180834367</v>
      </c>
      <c r="D9">
        <v>0</v>
      </c>
      <c r="E9">
        <v>0</v>
      </c>
      <c r="F9">
        <v>47.671281730183637</v>
      </c>
      <c r="G9">
        <v>-296.35289955747271</v>
      </c>
      <c r="H9">
        <v>-330.75172438316599</v>
      </c>
      <c r="I9">
        <v>53.025934656019956</v>
      </c>
      <c r="J9">
        <v>309.92165846093894</v>
      </c>
      <c r="K9" s="102">
        <f t="shared" si="1"/>
        <v>44</v>
      </c>
      <c r="L9" s="102">
        <f>main!S$42</f>
        <v>0</v>
      </c>
      <c r="M9" s="102">
        <f>main!S$46/1000</f>
        <v>44</v>
      </c>
      <c r="N9">
        <v>0</v>
      </c>
      <c r="O9">
        <f t="shared" si="2"/>
        <v>30</v>
      </c>
      <c r="P9">
        <v>0</v>
      </c>
    </row>
    <row r="10" spans="1:16" x14ac:dyDescent="0.2">
      <c r="A10" s="188">
        <v>44742</v>
      </c>
      <c r="B10">
        <v>48.039537083112265</v>
      </c>
      <c r="C10">
        <v>39.010903717257889</v>
      </c>
      <c r="D10">
        <v>0</v>
      </c>
      <c r="E10">
        <v>0</v>
      </c>
      <c r="F10">
        <v>48.688878228040721</v>
      </c>
      <c r="G10">
        <v>-297.49835085350992</v>
      </c>
      <c r="H10">
        <v>-332.36509849556313</v>
      </c>
      <c r="I10">
        <v>51.254299169859735</v>
      </c>
      <c r="J10">
        <v>310.72534509478271</v>
      </c>
      <c r="K10" s="102">
        <f t="shared" si="1"/>
        <v>44</v>
      </c>
      <c r="L10" s="102">
        <f>main!T$42</f>
        <v>0</v>
      </c>
      <c r="M10" s="102">
        <f>main!T$46/1000</f>
        <v>44</v>
      </c>
      <c r="N10">
        <v>0</v>
      </c>
      <c r="O10">
        <f>26.5 + 7/4</f>
        <v>28.25</v>
      </c>
      <c r="P10">
        <v>0</v>
      </c>
    </row>
    <row r="11" spans="1:16" x14ac:dyDescent="0.2">
      <c r="A11" s="188">
        <v>44834</v>
      </c>
      <c r="B11">
        <v>48.201447180075093</v>
      </c>
      <c r="C11">
        <v>39.629939855550987</v>
      </c>
      <c r="D11">
        <v>0</v>
      </c>
      <c r="E11">
        <v>0</v>
      </c>
      <c r="F11">
        <v>49.706474725897579</v>
      </c>
      <c r="G11">
        <v>-300.98658763202707</v>
      </c>
      <c r="H11">
        <v>-333.96844126633005</v>
      </c>
      <c r="I11">
        <v>49.591964018727879</v>
      </c>
      <c r="J11">
        <v>311.53224647516186</v>
      </c>
      <c r="K11" s="102">
        <f t="shared" si="1"/>
        <v>44</v>
      </c>
      <c r="L11" s="102">
        <f>main!U$42</f>
        <v>0</v>
      </c>
      <c r="M11" s="102">
        <f>main!U$46/1000</f>
        <v>44</v>
      </c>
      <c r="N11">
        <v>0</v>
      </c>
      <c r="O11">
        <f t="shared" ref="O11:O13" si="3">26.5 + 7/4</f>
        <v>28.25</v>
      </c>
      <c r="P11">
        <v>0</v>
      </c>
    </row>
    <row r="12" spans="1:16" x14ac:dyDescent="0.2">
      <c r="A12" s="188">
        <v>44926</v>
      </c>
      <c r="B12">
        <v>48.363357277038176</v>
      </c>
      <c r="C12">
        <v>40.211463489980559</v>
      </c>
      <c r="D12">
        <v>0</v>
      </c>
      <c r="E12">
        <v>0</v>
      </c>
      <c r="F12">
        <v>50.724071223754891</v>
      </c>
      <c r="G12">
        <v>-304.48278644019388</v>
      </c>
      <c r="H12">
        <v>-335.54670568301719</v>
      </c>
      <c r="I12">
        <v>47.918510297464479</v>
      </c>
      <c r="J12">
        <v>312.34237546106249</v>
      </c>
      <c r="K12" s="102">
        <f t="shared" si="1"/>
        <v>44</v>
      </c>
      <c r="L12" s="102">
        <f>main!V$42</f>
        <v>0</v>
      </c>
      <c r="M12" s="102">
        <f>main!V$46/1000</f>
        <v>44</v>
      </c>
      <c r="N12">
        <v>0</v>
      </c>
      <c r="O12">
        <f t="shared" si="3"/>
        <v>28.25</v>
      </c>
      <c r="P12">
        <v>0</v>
      </c>
    </row>
    <row r="13" spans="1:16" x14ac:dyDescent="0.2">
      <c r="A13" s="188">
        <v>45016</v>
      </c>
      <c r="B13">
        <v>47.839483460038394</v>
      </c>
      <c r="C13">
        <v>40.753319957302807</v>
      </c>
      <c r="D13">
        <v>0</v>
      </c>
      <c r="E13">
        <v>0</v>
      </c>
      <c r="F13">
        <v>51.155548825755204</v>
      </c>
      <c r="G13">
        <v>-308.12869919126456</v>
      </c>
      <c r="H13">
        <v>-337.11493875807332</v>
      </c>
      <c r="I13">
        <v>46.190652975053695</v>
      </c>
      <c r="J13">
        <v>313.15574496290668</v>
      </c>
      <c r="K13" s="102">
        <f t="shared" si="1"/>
        <v>44</v>
      </c>
      <c r="L13">
        <v>0</v>
      </c>
      <c r="M13">
        <v>44</v>
      </c>
      <c r="N13">
        <v>0</v>
      </c>
      <c r="O13">
        <f t="shared" si="3"/>
        <v>28.25</v>
      </c>
      <c r="P13">
        <v>0</v>
      </c>
    </row>
    <row r="14" spans="1:16" x14ac:dyDescent="0.2">
      <c r="A14" s="188">
        <v>45107</v>
      </c>
      <c r="B14">
        <v>47.315609643038613</v>
      </c>
      <c r="C14">
        <v>41.253454236095735</v>
      </c>
      <c r="D14">
        <v>0</v>
      </c>
      <c r="E14">
        <v>0</v>
      </c>
      <c r="F14">
        <v>51.587026427755291</v>
      </c>
      <c r="G14">
        <v>-311.37326185146208</v>
      </c>
      <c r="H14">
        <v>-338.67982805258555</v>
      </c>
      <c r="I14">
        <v>60.998657088929349</v>
      </c>
      <c r="J14">
        <v>330.50545802602733</v>
      </c>
      <c r="K14" s="102">
        <f t="shared" si="1"/>
        <v>44</v>
      </c>
      <c r="L14">
        <v>0</v>
      </c>
      <c r="M14">
        <v>44</v>
      </c>
      <c r="N14">
        <v>0</v>
      </c>
      <c r="O14">
        <v>26.5</v>
      </c>
      <c r="P14">
        <v>0</v>
      </c>
    </row>
    <row r="15" spans="1:16" x14ac:dyDescent="0.2">
      <c r="A15" s="188">
        <v>45199</v>
      </c>
      <c r="B15">
        <v>46.79173582603886</v>
      </c>
      <c r="C15">
        <v>41.759726279789334</v>
      </c>
      <c r="D15">
        <v>0</v>
      </c>
      <c r="E15">
        <v>0</v>
      </c>
      <c r="F15">
        <v>52.018504029755604</v>
      </c>
      <c r="G15">
        <v>-314.64118135068884</v>
      </c>
      <c r="H15">
        <v>-340.24973301791363</v>
      </c>
      <c r="I15">
        <v>58.409229063726343</v>
      </c>
      <c r="J15">
        <v>330.50545802602733</v>
      </c>
      <c r="K15" s="102">
        <f t="shared" si="1"/>
        <v>44</v>
      </c>
      <c r="L15">
        <v>0</v>
      </c>
      <c r="M15">
        <v>44</v>
      </c>
      <c r="N15">
        <v>0</v>
      </c>
      <c r="O15">
        <v>26.5</v>
      </c>
      <c r="P15">
        <v>0</v>
      </c>
    </row>
    <row r="16" spans="1:16" x14ac:dyDescent="0.2">
      <c r="A16" s="188">
        <v>45291</v>
      </c>
      <c r="B16">
        <v>46.267862009039106</v>
      </c>
      <c r="C16">
        <v>42.265546465969038</v>
      </c>
      <c r="D16">
        <v>0</v>
      </c>
      <c r="E16">
        <v>0</v>
      </c>
      <c r="F16">
        <v>52.449981631755918</v>
      </c>
      <c r="G16">
        <v>-317.91009587880671</v>
      </c>
      <c r="H16">
        <v>-341.83468499568875</v>
      </c>
      <c r="I16">
        <v>55.772660750934335</v>
      </c>
      <c r="J16">
        <v>330.50545802602733</v>
      </c>
      <c r="K16" s="102">
        <f t="shared" si="1"/>
        <v>44</v>
      </c>
      <c r="L16">
        <v>0</v>
      </c>
      <c r="M16">
        <v>44</v>
      </c>
      <c r="N16">
        <v>0</v>
      </c>
      <c r="O16">
        <v>26.5</v>
      </c>
      <c r="P16">
        <v>0</v>
      </c>
    </row>
    <row r="17" spans="1:16" x14ac:dyDescent="0.2">
      <c r="A17" s="188">
        <v>45382</v>
      </c>
      <c r="B17">
        <v>46.541498303630505</v>
      </c>
      <c r="C17">
        <v>42.789431658797866</v>
      </c>
      <c r="D17">
        <v>0</v>
      </c>
      <c r="E17">
        <v>0</v>
      </c>
      <c r="F17">
        <v>52.805656151203948</v>
      </c>
      <c r="G17">
        <v>-320.65295259986533</v>
      </c>
      <c r="H17">
        <v>-343.43468398591079</v>
      </c>
      <c r="I17">
        <v>56.320819297525361</v>
      </c>
      <c r="J17">
        <v>333.75381284849135</v>
      </c>
      <c r="K17" s="102">
        <f t="shared" si="1"/>
        <v>44</v>
      </c>
      <c r="L17">
        <v>0</v>
      </c>
      <c r="M17">
        <v>44</v>
      </c>
      <c r="N17">
        <v>0</v>
      </c>
      <c r="O17">
        <v>26.5</v>
      </c>
      <c r="P17">
        <v>0</v>
      </c>
    </row>
    <row r="18" spans="1:16" x14ac:dyDescent="0.2">
      <c r="A18" s="188">
        <v>45473</v>
      </c>
      <c r="B18">
        <v>46.815134598221618</v>
      </c>
      <c r="C18">
        <v>43.331381858275876</v>
      </c>
      <c r="D18">
        <v>0</v>
      </c>
      <c r="E18">
        <v>0</v>
      </c>
      <c r="F18">
        <v>53.161330670652433</v>
      </c>
      <c r="G18">
        <v>-322.94854684805023</v>
      </c>
      <c r="H18">
        <v>-345.04471431776483</v>
      </c>
      <c r="I18">
        <v>56.879821246043605</v>
      </c>
      <c r="J18">
        <v>337.06642502343362</v>
      </c>
      <c r="K18" s="102">
        <f t="shared" si="1"/>
        <v>44</v>
      </c>
      <c r="L18">
        <v>0</v>
      </c>
      <c r="M18">
        <v>44</v>
      </c>
      <c r="N18">
        <v>0</v>
      </c>
      <c r="O18">
        <v>26.5</v>
      </c>
      <c r="P18">
        <v>0</v>
      </c>
    </row>
    <row r="19" spans="1:16" x14ac:dyDescent="0.2">
      <c r="A19" s="188">
        <v>45565</v>
      </c>
      <c r="B19">
        <v>47.088770892812704</v>
      </c>
      <c r="C19">
        <v>43.88975479107151</v>
      </c>
      <c r="D19">
        <v>0</v>
      </c>
      <c r="E19">
        <v>0</v>
      </c>
      <c r="F19">
        <v>53.517005190100235</v>
      </c>
      <c r="G19">
        <v>-324.87601032551493</v>
      </c>
      <c r="H19">
        <v>-346.65140086907485</v>
      </c>
      <c r="I19">
        <v>57.442896595859679</v>
      </c>
      <c r="J19">
        <v>340.40317593128771</v>
      </c>
      <c r="K19" s="102">
        <f t="shared" si="1"/>
        <v>44</v>
      </c>
      <c r="L19">
        <v>0</v>
      </c>
      <c r="M19">
        <v>44</v>
      </c>
      <c r="N19">
        <v>0</v>
      </c>
      <c r="O19">
        <v>26.5</v>
      </c>
      <c r="P19">
        <v>0</v>
      </c>
    </row>
    <row r="20" spans="1:16" x14ac:dyDescent="0.2">
      <c r="A20" s="188">
        <v>45657</v>
      </c>
      <c r="B20">
        <v>47.362407187404102</v>
      </c>
      <c r="C20">
        <v>44.425135897222646</v>
      </c>
      <c r="D20">
        <v>0</v>
      </c>
      <c r="E20">
        <v>0</v>
      </c>
      <c r="F20">
        <v>53.872679709548493</v>
      </c>
      <c r="G20">
        <v>-326.80373532685167</v>
      </c>
      <c r="H20">
        <v>-348.26310309120078</v>
      </c>
      <c r="I20">
        <v>58.012858959902587</v>
      </c>
      <c r="J20">
        <v>343.7807388743006</v>
      </c>
      <c r="K20" s="102">
        <f t="shared" si="1"/>
        <v>44</v>
      </c>
      <c r="L20">
        <v>0</v>
      </c>
      <c r="M20">
        <v>44</v>
      </c>
      <c r="N20">
        <v>0</v>
      </c>
      <c r="O20">
        <v>26.5</v>
      </c>
      <c r="P20">
        <v>0</v>
      </c>
    </row>
    <row r="21" spans="1:16" x14ac:dyDescent="0.2">
      <c r="A21" s="188">
        <v>45747</v>
      </c>
      <c r="B21">
        <v>48.066251661202273</v>
      </c>
      <c r="C21">
        <v>44.935882903397726</v>
      </c>
      <c r="D21">
        <v>0</v>
      </c>
      <c r="E21">
        <v>0</v>
      </c>
      <c r="F21">
        <v>55.20011796204426</v>
      </c>
      <c r="G21">
        <v>-333.40864341011638</v>
      </c>
      <c r="H21">
        <v>-349.87814909387072</v>
      </c>
      <c r="I21">
        <v>58.589015916982248</v>
      </c>
      <c r="J21">
        <v>347.19501060583724</v>
      </c>
      <c r="K21" s="102">
        <f t="shared" si="1"/>
        <v>44</v>
      </c>
      <c r="L21">
        <v>0</v>
      </c>
      <c r="M21">
        <v>44</v>
      </c>
      <c r="N21">
        <v>0</v>
      </c>
      <c r="O21">
        <v>26.5</v>
      </c>
      <c r="P21">
        <v>0</v>
      </c>
    </row>
    <row r="22" spans="1:16" x14ac:dyDescent="0.2">
      <c r="A22" s="188">
        <v>45838</v>
      </c>
      <c r="B22">
        <v>48.770096135000415</v>
      </c>
      <c r="C22">
        <v>45.444987636240768</v>
      </c>
      <c r="D22">
        <v>0</v>
      </c>
      <c r="E22">
        <v>0</v>
      </c>
      <c r="F22">
        <v>56.527556214540482</v>
      </c>
      <c r="G22">
        <v>-340.54111102731963</v>
      </c>
      <c r="H22">
        <v>-351.49152320626786</v>
      </c>
      <c r="I22">
        <v>59.167727386067725</v>
      </c>
      <c r="J22">
        <v>350.62442022301775</v>
      </c>
      <c r="K22" s="102">
        <f t="shared" si="1"/>
        <v>44</v>
      </c>
      <c r="L22">
        <v>0</v>
      </c>
      <c r="M22">
        <v>44</v>
      </c>
      <c r="N22">
        <v>0</v>
      </c>
      <c r="O22">
        <v>26.5</v>
      </c>
      <c r="P22">
        <v>0</v>
      </c>
    </row>
    <row r="23" spans="1:16" x14ac:dyDescent="0.2">
      <c r="A23" s="188">
        <v>45930</v>
      </c>
      <c r="B23">
        <v>49.473940608798586</v>
      </c>
      <c r="C23">
        <v>45.952450095752283</v>
      </c>
      <c r="D23">
        <v>0</v>
      </c>
      <c r="E23">
        <v>0</v>
      </c>
      <c r="F23">
        <v>57.854994467036249</v>
      </c>
      <c r="G23">
        <v>-347.80345322896324</v>
      </c>
      <c r="H23">
        <v>-353.08483463540284</v>
      </c>
      <c r="I23">
        <v>59.749708062859611</v>
      </c>
      <c r="J23">
        <v>354.07320296989764</v>
      </c>
      <c r="K23" s="102">
        <f t="shared" si="1"/>
        <v>44</v>
      </c>
      <c r="L23">
        <v>0</v>
      </c>
      <c r="M23">
        <v>44</v>
      </c>
      <c r="N23">
        <v>0</v>
      </c>
      <c r="O23">
        <v>26.5</v>
      </c>
      <c r="P23">
        <v>0</v>
      </c>
    </row>
    <row r="24" spans="1:16" x14ac:dyDescent="0.2">
      <c r="A24" s="188">
        <v>46022</v>
      </c>
      <c r="B24">
        <v>50.177785082596728</v>
      </c>
      <c r="C24">
        <v>46.459912555263514</v>
      </c>
      <c r="D24">
        <v>0</v>
      </c>
      <c r="E24">
        <v>0</v>
      </c>
      <c r="F24">
        <v>59.182432719532244</v>
      </c>
      <c r="G24">
        <v>-355.06640591195196</v>
      </c>
      <c r="H24">
        <v>-354.66644283263395</v>
      </c>
      <c r="I24">
        <v>60.334455081213719</v>
      </c>
      <c r="J24">
        <v>357.53837889172672</v>
      </c>
      <c r="K24" s="102">
        <f t="shared" si="1"/>
        <v>44</v>
      </c>
      <c r="L24">
        <v>0</v>
      </c>
      <c r="M24">
        <v>44</v>
      </c>
      <c r="N24">
        <v>0</v>
      </c>
      <c r="O24">
        <v>26.5</v>
      </c>
      <c r="P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40" t="s">
        <v>21</v>
      </c>
      <c r="E1" s="340"/>
      <c r="F1" s="340"/>
      <c r="G1" s="340"/>
      <c r="H1" s="340" t="s">
        <v>9</v>
      </c>
      <c r="I1" s="340"/>
      <c r="J1" s="340"/>
      <c r="K1" s="340"/>
      <c r="L1" s="340" t="s">
        <v>10</v>
      </c>
      <c r="M1" s="340"/>
      <c r="N1" s="340"/>
      <c r="O1" s="340"/>
      <c r="P1" s="340" t="s">
        <v>11</v>
      </c>
      <c r="Q1" s="340"/>
      <c r="R1" s="340"/>
      <c r="S1" s="340"/>
      <c r="T1" s="340" t="s">
        <v>264</v>
      </c>
      <c r="U1" s="340"/>
      <c r="V1" s="340"/>
      <c r="W1" s="340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2">
      <c r="A4" s="35" t="s">
        <v>212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2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>
        <f>main!N97</f>
        <v>818740</v>
      </c>
      <c r="M5" s="262">
        <f>main!O97</f>
        <v>831250.83502466371</v>
      </c>
      <c r="N5" s="262">
        <f>main!P97</f>
        <v>838457.84744285408</v>
      </c>
      <c r="O5" s="262">
        <f>main!Q97</f>
        <v>839187.01967747905</v>
      </c>
      <c r="P5" s="262">
        <f>main!R97</f>
        <v>840286.24682117626</v>
      </c>
      <c r="Q5" s="262">
        <f>main!S97</f>
        <v>841762.8752842095</v>
      </c>
      <c r="R5" s="262">
        <f>main!T97</f>
        <v>843107.97501111636</v>
      </c>
      <c r="S5" s="262">
        <f>main!U97</f>
        <v>844539.45728929248</v>
      </c>
      <c r="T5" s="262">
        <f>main!V97</f>
        <v>846032.64138980373</v>
      </c>
      <c r="U5" s="262"/>
      <c r="V5" s="262"/>
      <c r="W5" s="262"/>
      <c r="AJ5" s="258"/>
    </row>
    <row r="6" spans="1:36" s="35" customFormat="1" x14ac:dyDescent="0.2">
      <c r="A6" s="35" t="s">
        <v>211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>
        <f>main!N100</f>
        <v>673632</v>
      </c>
      <c r="M6" s="35">
        <f>main!O100</f>
        <v>685780.06502466369</v>
      </c>
      <c r="N6" s="35">
        <f>main!P100</f>
        <v>692623.40051785414</v>
      </c>
      <c r="O6" s="35">
        <f>main!Q100</f>
        <v>692623.40051785414</v>
      </c>
      <c r="P6" s="35">
        <f>main!R100</f>
        <v>692623.40051785414</v>
      </c>
      <c r="Q6" s="35">
        <f>main!S100</f>
        <v>692623.40051785414</v>
      </c>
      <c r="R6" s="35">
        <f>main!T100</f>
        <v>692623.40051785414</v>
      </c>
      <c r="S6" s="35">
        <f>main!U100</f>
        <v>692623.40051785414</v>
      </c>
      <c r="T6" s="35">
        <f>main!V100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48" t="s">
        <v>206</v>
      </c>
      <c r="B1" s="349"/>
      <c r="C1" s="35"/>
      <c r="I1" s="240"/>
      <c r="J1" s="356" t="s">
        <v>277</v>
      </c>
      <c r="V1" s="340"/>
      <c r="W1" s="340"/>
      <c r="X1" s="340"/>
      <c r="Y1" s="340"/>
    </row>
    <row r="2" spans="1:27" x14ac:dyDescent="0.2">
      <c r="A2" s="350" t="s">
        <v>191</v>
      </c>
      <c r="B2" s="126"/>
      <c r="C2" t="s">
        <v>192</v>
      </c>
      <c r="H2" s="95"/>
      <c r="I2" s="241"/>
      <c r="J2" s="356"/>
    </row>
    <row r="3" spans="1:27" x14ac:dyDescent="0.2">
      <c r="A3" s="351"/>
      <c r="B3" s="127"/>
      <c r="C3" t="s">
        <v>193</v>
      </c>
      <c r="H3" s="95"/>
      <c r="I3" s="241"/>
      <c r="J3" s="356"/>
    </row>
    <row r="4" spans="1:27" x14ac:dyDescent="0.2">
      <c r="A4" s="351"/>
      <c r="B4" s="128"/>
      <c r="C4" t="s">
        <v>194</v>
      </c>
      <c r="H4" s="95"/>
      <c r="I4" s="95"/>
      <c r="J4" s="95"/>
    </row>
    <row r="5" spans="1:27" x14ac:dyDescent="0.2">
      <c r="A5" s="352"/>
      <c r="B5" s="129"/>
      <c r="C5" t="s">
        <v>181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4"/>
      <c r="O7" s="353" t="s">
        <v>268</v>
      </c>
      <c r="P7" s="354"/>
      <c r="Q7" s="354"/>
      <c r="R7" s="354"/>
      <c r="S7" s="353" t="s">
        <v>271</v>
      </c>
      <c r="T7" s="354"/>
      <c r="U7" s="354"/>
      <c r="V7" s="354"/>
      <c r="W7" s="353" t="s">
        <v>272</v>
      </c>
      <c r="X7" s="354"/>
      <c r="Y7" s="354"/>
      <c r="Z7" s="354"/>
      <c r="AA7" s="222" t="s">
        <v>273</v>
      </c>
    </row>
    <row r="8" spans="1:27" s="257" customFormat="1" x14ac:dyDescent="0.2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2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275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2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275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2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275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2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275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254</v>
      </c>
      <c r="B1" s="259" t="s">
        <v>247</v>
      </c>
      <c r="C1" s="259" t="s">
        <v>248</v>
      </c>
      <c r="D1" s="259" t="s">
        <v>249</v>
      </c>
      <c r="E1" s="259" t="s">
        <v>250</v>
      </c>
      <c r="F1" s="259" t="s">
        <v>251</v>
      </c>
      <c r="G1" s="259" t="s">
        <v>252</v>
      </c>
      <c r="H1" s="259" t="s">
        <v>253</v>
      </c>
      <c r="I1" s="259" t="s">
        <v>284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91.548999999999978</v>
      </c>
      <c r="E2" s="259">
        <f t="array" ref="E2:E23">TRANSPOSE('add-ons calculations'!F43:AA43)</f>
        <v>36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127.57999999999993</v>
      </c>
      <c r="I2" s="259">
        <f t="array" ref="I2:I23">TRANSPOSE('add-ons calculations'!F71:AA71)</f>
        <v>-592.86</v>
      </c>
    </row>
    <row r="3" spans="1:9" x14ac:dyDescent="0.2">
      <c r="A3" s="260">
        <v>44196</v>
      </c>
      <c r="B3" s="259">
        <v>-52.043157750019304</v>
      </c>
      <c r="C3" s="259">
        <v>698.70615775001932</v>
      </c>
      <c r="D3" s="259">
        <v>4.8999999999978172E-2</v>
      </c>
      <c r="E3" s="259">
        <v>1.3174040991388836</v>
      </c>
      <c r="F3" s="259">
        <v>30.68379862957454</v>
      </c>
      <c r="G3" s="259">
        <v>591.06441309996126</v>
      </c>
      <c r="H3" s="259">
        <v>-602.36400000000015</v>
      </c>
      <c r="I3" s="259">
        <v>52.023000000000025</v>
      </c>
    </row>
    <row r="4" spans="1:9" x14ac:dyDescent="0.2">
      <c r="A4" s="260">
        <v>44286</v>
      </c>
      <c r="B4" s="259">
        <v>-66.570250475374905</v>
      </c>
      <c r="C4" s="259">
        <v>735.77787802470243</v>
      </c>
      <c r="D4" s="259">
        <v>-3.3936816918451314</v>
      </c>
      <c r="E4" s="259">
        <v>-2.8001771349484841</v>
      </c>
      <c r="F4" s="259">
        <v>66.012511731550148</v>
      </c>
      <c r="G4" s="259">
        <v>1201.8936191406992</v>
      </c>
      <c r="H4" s="259">
        <v>243.4502500000001</v>
      </c>
      <c r="I4" s="259">
        <v>96.731803999999983</v>
      </c>
    </row>
    <row r="5" spans="1:9" x14ac:dyDescent="0.2">
      <c r="A5" s="260">
        <v>44377</v>
      </c>
      <c r="B5" s="259">
        <v>-86.402072732203806</v>
      </c>
      <c r="C5" s="259">
        <v>767.5404900116622</v>
      </c>
      <c r="D5" s="259">
        <v>-35.078228538838857</v>
      </c>
      <c r="E5" s="259">
        <v>-1.8457834796861619</v>
      </c>
      <c r="F5" s="259">
        <v>101.61723848447548</v>
      </c>
      <c r="G5" s="259">
        <v>854.05661636033483</v>
      </c>
      <c r="H5" s="259">
        <v>445.08358333333337</v>
      </c>
      <c r="I5" s="259">
        <v>63.792759215999979</v>
      </c>
    </row>
    <row r="6" spans="1:9" x14ac:dyDescent="0.2">
      <c r="A6" s="260">
        <v>44469</v>
      </c>
      <c r="B6" s="259">
        <v>-113.07723048222294</v>
      </c>
      <c r="C6" s="259">
        <v>790.69510584290015</v>
      </c>
      <c r="D6" s="259">
        <v>-27.308967806727196</v>
      </c>
      <c r="E6" s="259">
        <v>-1.4671673408694517</v>
      </c>
      <c r="F6" s="259">
        <v>137.50135897728978</v>
      </c>
      <c r="G6" s="259">
        <v>906.03001879956446</v>
      </c>
      <c r="H6" s="259">
        <v>-296.76846491956729</v>
      </c>
      <c r="I6" s="259">
        <v>63.724389852686016</v>
      </c>
    </row>
    <row r="7" spans="1:9" x14ac:dyDescent="0.2">
      <c r="A7" s="260">
        <v>44561</v>
      </c>
      <c r="B7" s="259">
        <v>-105.05755462580441</v>
      </c>
      <c r="C7" s="259">
        <v>777.3682130439189</v>
      </c>
      <c r="D7" s="259">
        <v>-30.015460859167206</v>
      </c>
      <c r="E7" s="259">
        <v>-1.6014328737799701</v>
      </c>
      <c r="F7" s="259">
        <v>144.44402858127864</v>
      </c>
      <c r="G7" s="259">
        <v>926.50683572140088</v>
      </c>
      <c r="H7" s="259">
        <v>-303.36383156777498</v>
      </c>
      <c r="I7" s="259">
        <v>64.565760303725483</v>
      </c>
    </row>
    <row r="8" spans="1:9" x14ac:dyDescent="0.2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-330.75172438316599</v>
      </c>
      <c r="I8" s="259">
        <v>53.025934656019956</v>
      </c>
    </row>
    <row r="9" spans="1:9" x14ac:dyDescent="0.2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-332.36509849556313</v>
      </c>
      <c r="I9" s="259">
        <v>51.254299169859735</v>
      </c>
    </row>
    <row r="10" spans="1:9" x14ac:dyDescent="0.2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-333.96844126633005</v>
      </c>
      <c r="I10" s="259">
        <v>49.591964018727879</v>
      </c>
    </row>
    <row r="11" spans="1:9" x14ac:dyDescent="0.2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-335.54670568301719</v>
      </c>
      <c r="I11" s="259">
        <v>47.918510297464479</v>
      </c>
    </row>
    <row r="12" spans="1:9" x14ac:dyDescent="0.2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-337.11493875807332</v>
      </c>
      <c r="I12" s="259">
        <v>46.190652975053695</v>
      </c>
    </row>
    <row r="13" spans="1:9" x14ac:dyDescent="0.2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-338.67982805258555</v>
      </c>
      <c r="I13" s="259">
        <v>60.998657088929349</v>
      </c>
    </row>
    <row r="14" spans="1:9" x14ac:dyDescent="0.2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-340.24973301791363</v>
      </c>
      <c r="I14" s="259">
        <v>58.409229063726343</v>
      </c>
    </row>
    <row r="15" spans="1:9" x14ac:dyDescent="0.2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-341.83468499568875</v>
      </c>
      <c r="I15" s="259">
        <v>55.772660750934335</v>
      </c>
    </row>
    <row r="16" spans="1:9" x14ac:dyDescent="0.2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-343.43468398591079</v>
      </c>
      <c r="I16" s="259">
        <v>56.320819297525361</v>
      </c>
    </row>
    <row r="17" spans="1:9" x14ac:dyDescent="0.2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-345.04471431776483</v>
      </c>
      <c r="I17" s="259">
        <v>56.879821246043605</v>
      </c>
    </row>
    <row r="18" spans="1:9" x14ac:dyDescent="0.2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-346.65140086907485</v>
      </c>
      <c r="I18" s="259">
        <v>57.442896595859679</v>
      </c>
    </row>
    <row r="19" spans="1:9" x14ac:dyDescent="0.2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-348.26310309120078</v>
      </c>
      <c r="I19" s="259">
        <v>58.012858959902587</v>
      </c>
    </row>
    <row r="20" spans="1:9" x14ac:dyDescent="0.2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-349.87814909387072</v>
      </c>
      <c r="I20" s="259">
        <v>58.589015916982248</v>
      </c>
    </row>
    <row r="21" spans="1:9" x14ac:dyDescent="0.2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-351.49152320626786</v>
      </c>
      <c r="I21" s="259">
        <v>59.167727386067725</v>
      </c>
    </row>
    <row r="22" spans="1:9" x14ac:dyDescent="0.2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-353.08483463540284</v>
      </c>
      <c r="I22" s="259">
        <v>59.749708062859611</v>
      </c>
    </row>
    <row r="23" spans="1:9" x14ac:dyDescent="0.2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-354.66644283263395</v>
      </c>
      <c r="I23" s="259">
        <v>60.334455081213719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topLeftCell="A19" workbookViewId="0">
      <selection activeCell="J34" sqref="J34"/>
    </sheetView>
  </sheetViews>
  <sheetFormatPr baseColWidth="10" defaultColWidth="8.83203125" defaultRowHeight="15" x14ac:dyDescent="0.2"/>
  <sheetData>
    <row r="1" spans="1:10" s="297" customFormat="1" x14ac:dyDescent="0.2">
      <c r="A1" s="297" t="s">
        <v>316</v>
      </c>
      <c r="B1" s="297" t="s">
        <v>317</v>
      </c>
      <c r="C1" s="297" t="s">
        <v>318</v>
      </c>
      <c r="D1" s="297" t="s">
        <v>319</v>
      </c>
      <c r="E1" s="297" t="s">
        <v>320</v>
      </c>
      <c r="F1" s="297" t="s">
        <v>321</v>
      </c>
      <c r="G1" s="297" t="s">
        <v>322</v>
      </c>
      <c r="H1" s="297" t="s">
        <v>323</v>
      </c>
      <c r="I1" s="297" t="s">
        <v>324</v>
      </c>
      <c r="J1" s="297" t="s">
        <v>368</v>
      </c>
    </row>
    <row r="2" spans="1:10" x14ac:dyDescent="0.2">
      <c r="A2" t="s">
        <v>286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2">
      <c r="A3" t="s">
        <v>287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2">
      <c r="A4" t="s">
        <v>288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2">
      <c r="A5" t="s">
        <v>289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2">
      <c r="A6" t="s">
        <v>290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2">
      <c r="A7" t="s">
        <v>291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2">
      <c r="A8" t="s">
        <v>292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2">
      <c r="A9" t="s">
        <v>293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2">
      <c r="A10" t="s">
        <v>325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2">
      <c r="A11" t="s">
        <v>326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2">
      <c r="A12" t="s">
        <v>295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2">
      <c r="A13" t="s">
        <v>296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2">
      <c r="A14" t="s">
        <v>297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2">
      <c r="A15" t="s">
        <v>298</v>
      </c>
      <c r="H15">
        <v>1078100</v>
      </c>
      <c r="I15">
        <v>15600</v>
      </c>
      <c r="J15">
        <v>5000</v>
      </c>
    </row>
    <row r="16" spans="1:10" x14ac:dyDescent="0.2">
      <c r="A16" t="s">
        <v>299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2">
      <c r="A17" t="s">
        <v>300</v>
      </c>
      <c r="H17">
        <v>19100</v>
      </c>
      <c r="I17">
        <v>27000</v>
      </c>
      <c r="J17">
        <v>10800</v>
      </c>
    </row>
    <row r="18" spans="1:10" x14ac:dyDescent="0.2">
      <c r="A18" t="s">
        <v>301</v>
      </c>
      <c r="H18">
        <v>160900</v>
      </c>
      <c r="I18">
        <v>58400</v>
      </c>
      <c r="J18">
        <v>34500</v>
      </c>
    </row>
    <row r="19" spans="1:10" x14ac:dyDescent="0.2">
      <c r="A19" t="s">
        <v>302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2">
      <c r="A20" t="s">
        <v>303</v>
      </c>
      <c r="H20">
        <v>609300</v>
      </c>
      <c r="I20">
        <v>865600</v>
      </c>
      <c r="J20">
        <v>260300</v>
      </c>
    </row>
    <row r="21" spans="1:10" x14ac:dyDescent="0.2">
      <c r="A21" t="s">
        <v>304</v>
      </c>
      <c r="H21">
        <v>63800</v>
      </c>
      <c r="I21">
        <v>15000</v>
      </c>
      <c r="J21">
        <v>100</v>
      </c>
    </row>
    <row r="22" spans="1:10" x14ac:dyDescent="0.2">
      <c r="A22" t="s">
        <v>305</v>
      </c>
      <c r="H22">
        <v>73300</v>
      </c>
      <c r="I22">
        <v>73300</v>
      </c>
      <c r="J22">
        <v>73300</v>
      </c>
    </row>
    <row r="23" spans="1:10" x14ac:dyDescent="0.2">
      <c r="A23" t="s">
        <v>306</v>
      </c>
      <c r="H23">
        <v>140000</v>
      </c>
      <c r="I23">
        <v>140000</v>
      </c>
      <c r="J23">
        <v>140000</v>
      </c>
    </row>
    <row r="24" spans="1:10" x14ac:dyDescent="0.2">
      <c r="A24" t="s">
        <v>307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2">
      <c r="A25" t="s">
        <v>310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2">
      <c r="A26" t="s">
        <v>309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2">
      <c r="A27" t="s">
        <v>311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2">
      <c r="A28" t="s">
        <v>312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2">
      <c r="A29" t="s">
        <v>313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2">
      <c r="A30" t="s">
        <v>314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2">
      <c r="A31" t="s">
        <v>315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2">
      <c r="A32" t="s">
        <v>294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2">
      <c r="A33" t="s">
        <v>328</v>
      </c>
      <c r="H33">
        <v>277100</v>
      </c>
      <c r="I33">
        <v>228300</v>
      </c>
      <c r="J33">
        <v>213400</v>
      </c>
    </row>
    <row r="34" spans="1:10" x14ac:dyDescent="0.2">
      <c r="A34" t="s">
        <v>308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254</v>
      </c>
      <c r="B1" t="s">
        <v>285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230</v>
      </c>
    </row>
    <row r="3" spans="1:16" x14ac:dyDescent="0.2">
      <c r="B3" s="157" t="s">
        <v>231</v>
      </c>
    </row>
    <row r="4" spans="1:16" x14ac:dyDescent="0.2">
      <c r="A4" s="157" t="s">
        <v>232</v>
      </c>
      <c r="C4" s="157" t="s">
        <v>233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234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235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236</v>
      </c>
      <c r="C8" s="160"/>
      <c r="D8" s="161">
        <f>SUMPRODUCT(B5:B6,C5:C6)</f>
        <v>0.45</v>
      </c>
    </row>
    <row r="9" spans="1:16" x14ac:dyDescent="0.2">
      <c r="B9" s="157" t="s">
        <v>237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238</v>
      </c>
      <c r="C14" s="157" t="s">
        <v>233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235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239</v>
      </c>
      <c r="D19" s="157">
        <f>SUMPRODUCT(C15:C17,B15:B17)</f>
        <v>0.86186821348990206</v>
      </c>
    </row>
    <row r="20" spans="1:12" x14ac:dyDescent="0.2">
      <c r="B20" s="161" t="s">
        <v>237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240</v>
      </c>
    </row>
    <row r="23" spans="1:12" x14ac:dyDescent="0.2">
      <c r="A23" s="157" t="s">
        <v>241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242</v>
      </c>
      <c r="C26" s="157">
        <v>1065.5</v>
      </c>
      <c r="D26" s="157">
        <f>C26/C25</f>
        <v>0.18843065822516181</v>
      </c>
    </row>
    <row r="27" spans="1:12" x14ac:dyDescent="0.2">
      <c r="B27" s="157" t="s">
        <v>243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230</v>
      </c>
    </row>
    <row r="3" spans="1:16" x14ac:dyDescent="0.2">
      <c r="B3" s="157" t="s">
        <v>231</v>
      </c>
    </row>
    <row r="4" spans="1:16" x14ac:dyDescent="0.2">
      <c r="A4" s="157" t="s">
        <v>232</v>
      </c>
      <c r="C4" s="157" t="s">
        <v>233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234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235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236</v>
      </c>
      <c r="C8" s="160"/>
      <c r="D8" s="161">
        <f>SUMPRODUCT(B5:B6,C5:C6)</f>
        <v>0.52500000000000002</v>
      </c>
    </row>
    <row r="9" spans="1:16" x14ac:dyDescent="0.2">
      <c r="B9" s="157" t="s">
        <v>237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238</v>
      </c>
      <c r="C14" s="157" t="s">
        <v>233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235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239</v>
      </c>
      <c r="D19" s="157">
        <f>SUMPRODUCT(C15:C17,B15:B17)</f>
        <v>0.86186821348990206</v>
      </c>
    </row>
    <row r="20" spans="1:12" x14ac:dyDescent="0.2">
      <c r="B20" s="161" t="s">
        <v>237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240</v>
      </c>
    </row>
    <row r="23" spans="1:12" x14ac:dyDescent="0.2">
      <c r="A23" s="157" t="s">
        <v>241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242</v>
      </c>
      <c r="C26" s="157">
        <v>1065.5</v>
      </c>
      <c r="D26" s="157">
        <f>C26/C25</f>
        <v>0.18843065822516181</v>
      </c>
    </row>
    <row r="27" spans="1:12" x14ac:dyDescent="0.2">
      <c r="B27" s="157" t="s">
        <v>243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57" t="s">
        <v>32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15">
      <c r="A6" s="359" t="s">
        <v>33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60"/>
      <c r="S8" s="361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15">
      <c r="A12" s="130"/>
      <c r="B12" s="28"/>
      <c r="C12" s="28"/>
      <c r="D12" s="28" t="s">
        <v>218</v>
      </c>
      <c r="E12" s="28" t="s">
        <v>216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224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217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223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222</v>
      </c>
    </row>
    <row r="15" spans="1:19" x14ac:dyDescent="0.2">
      <c r="A15" t="s">
        <v>221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2">
      <c r="A19" t="s">
        <v>219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41" t="s">
        <v>206</v>
      </c>
      <c r="B1" s="341"/>
      <c r="C1" s="35"/>
      <c r="H1"/>
      <c r="I1"/>
      <c r="J1"/>
      <c r="X1" t="s">
        <v>28</v>
      </c>
      <c r="Z1" s="362" t="s">
        <v>84</v>
      </c>
      <c r="AA1" s="362"/>
      <c r="AB1" s="362"/>
      <c r="AC1" s="340"/>
      <c r="AD1" s="340"/>
      <c r="AE1" s="340"/>
      <c r="AF1" s="340"/>
    </row>
    <row r="2" spans="1:32" x14ac:dyDescent="0.2">
      <c r="A2" s="363" t="s">
        <v>191</v>
      </c>
      <c r="B2" s="107"/>
      <c r="C2" t="s">
        <v>192</v>
      </c>
    </row>
    <row r="3" spans="1:32" x14ac:dyDescent="0.2">
      <c r="A3" s="363"/>
      <c r="B3" s="108"/>
      <c r="C3" t="s">
        <v>193</v>
      </c>
    </row>
    <row r="4" spans="1:32" x14ac:dyDescent="0.2">
      <c r="A4" s="363"/>
      <c r="B4" s="109"/>
      <c r="C4" t="s">
        <v>194</v>
      </c>
    </row>
    <row r="5" spans="1:32" x14ac:dyDescent="0.2">
      <c r="A5" s="363"/>
      <c r="B5" s="98"/>
      <c r="C5" t="s">
        <v>181</v>
      </c>
    </row>
    <row r="7" spans="1:32" x14ac:dyDescent="0.2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5"/>
    </row>
    <row r="8" spans="1:32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184</v>
      </c>
      <c r="B23" s="110"/>
    </row>
    <row r="24" spans="1:12" x14ac:dyDescent="0.2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187</v>
      </c>
      <c r="B31" s="110"/>
    </row>
    <row r="32" spans="1:12" x14ac:dyDescent="0.2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188</v>
      </c>
      <c r="B53" s="105"/>
    </row>
    <row r="54" spans="1:12" x14ac:dyDescent="0.2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189</v>
      </c>
      <c r="B61" s="105"/>
    </row>
    <row r="62" spans="1:12" x14ac:dyDescent="0.2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853.25025000000005</v>
      </c>
      <c r="I70" s="102">
        <f>main!P54/1000</f>
        <v>847.38358333333338</v>
      </c>
      <c r="J70" s="102">
        <f>main!Q54/1000</f>
        <v>107.41691666666667</v>
      </c>
      <c r="K70" s="102">
        <f>main!R54/1000</f>
        <v>102.75024999999999</v>
      </c>
    </row>
    <row r="71" spans="1:11" x14ac:dyDescent="0.2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-243.83788151563999</v>
      </c>
      <c r="I72" s="103">
        <f t="shared" si="23"/>
        <v>-253.66952490565666</v>
      </c>
      <c r="J72" s="103">
        <f t="shared" si="23"/>
        <v>-997.91791393977326</v>
      </c>
      <c r="K72" s="103">
        <f t="shared" si="23"/>
        <v>-1007.2000171346299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69" t="s">
        <v>104</v>
      </c>
      <c r="B2" s="369"/>
      <c r="C2" s="369"/>
      <c r="D2" s="369"/>
      <c r="E2" s="369"/>
      <c r="F2" s="369"/>
      <c r="G2" s="369"/>
      <c r="H2" s="369"/>
      <c r="I2" s="369"/>
      <c r="J2" s="369"/>
      <c r="K2" s="77"/>
    </row>
    <row r="3" spans="1:24" x14ac:dyDescent="0.2">
      <c r="A3" s="369" t="s">
        <v>105</v>
      </c>
      <c r="B3" s="369"/>
      <c r="C3" s="369"/>
      <c r="D3" s="369"/>
      <c r="E3" s="369"/>
      <c r="F3" s="369"/>
      <c r="G3" s="369"/>
      <c r="H3" s="369"/>
      <c r="I3" s="369"/>
      <c r="J3" s="369"/>
      <c r="K3" s="77"/>
    </row>
    <row r="4" spans="1:24" ht="16" thickBot="1" x14ac:dyDescent="0.25">
      <c r="A4" s="370"/>
      <c r="B4" s="370"/>
      <c r="C4" s="370"/>
      <c r="D4" s="370"/>
      <c r="E4" s="370"/>
      <c r="F4" s="370"/>
      <c r="G4" s="370"/>
      <c r="H4" s="370"/>
      <c r="I4" s="370"/>
      <c r="J4" s="370"/>
      <c r="K4" s="375" t="s">
        <v>160</v>
      </c>
      <c r="L4" s="375"/>
      <c r="M4" s="375"/>
      <c r="N4" s="375"/>
    </row>
    <row r="5" spans="1:24" x14ac:dyDescent="0.2">
      <c r="A5" s="47"/>
      <c r="B5" s="48"/>
      <c r="C5" s="371" t="s">
        <v>106</v>
      </c>
      <c r="D5" s="372"/>
      <c r="E5" s="372"/>
      <c r="F5" s="372"/>
      <c r="G5" s="372"/>
      <c r="H5" s="372"/>
      <c r="I5" s="372"/>
      <c r="J5" s="373"/>
      <c r="K5" s="78"/>
      <c r="L5" s="374" t="s">
        <v>107</v>
      </c>
      <c r="M5" s="340"/>
      <c r="N5" s="340"/>
    </row>
    <row r="6" spans="1:24" x14ac:dyDescent="0.2">
      <c r="A6" s="1" t="s">
        <v>109</v>
      </c>
      <c r="B6" s="49"/>
      <c r="C6" s="365">
        <v>2020</v>
      </c>
      <c r="D6" s="366"/>
      <c r="E6" s="366"/>
      <c r="F6" s="366"/>
      <c r="G6" s="366"/>
      <c r="H6" s="366"/>
      <c r="I6" s="366"/>
      <c r="J6" s="367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40" t="s">
        <v>9</v>
      </c>
      <c r="L22" s="340"/>
      <c r="M22" s="340"/>
      <c r="N22" s="340"/>
      <c r="O22" s="340" t="s">
        <v>10</v>
      </c>
      <c r="P22" s="340"/>
      <c r="Q22" s="340"/>
      <c r="R22" s="340"/>
      <c r="S22" s="340" t="s">
        <v>11</v>
      </c>
      <c r="T22" s="340"/>
      <c r="U22" s="340"/>
      <c r="V22" s="340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68" t="s">
        <v>108</v>
      </c>
      <c r="L23" s="368"/>
      <c r="M23" s="368"/>
      <c r="N23" s="368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64" t="s">
        <v>256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64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64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64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64" t="s">
        <v>141</v>
      </c>
      <c r="J33" s="85" t="s">
        <v>256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64"/>
      <c r="J34" t="s">
        <v>257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137.33333333333337</v>
      </c>
      <c r="R35" s="72"/>
    </row>
    <row r="36" spans="3:23" x14ac:dyDescent="0.2">
      <c r="C36" t="s">
        <v>265</v>
      </c>
    </row>
    <row r="37" spans="3:23" x14ac:dyDescent="0.2">
      <c r="C37" t="s">
        <v>266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369</v>
      </c>
    </row>
    <row r="43" spans="3:23" x14ac:dyDescent="0.2">
      <c r="N43" s="82" t="s">
        <v>144</v>
      </c>
      <c r="O43" s="72">
        <v>15</v>
      </c>
    </row>
    <row r="44" spans="3:23" x14ac:dyDescent="0.2">
      <c r="N44" s="82" t="s">
        <v>143</v>
      </c>
      <c r="O44" s="72">
        <v>10</v>
      </c>
    </row>
    <row r="45" spans="3:23" x14ac:dyDescent="0.2">
      <c r="N45" s="82" t="s">
        <v>142</v>
      </c>
      <c r="O45" s="72">
        <v>5</v>
      </c>
    </row>
    <row r="46" spans="3:23" x14ac:dyDescent="0.2">
      <c r="N46" s="35" t="s">
        <v>140</v>
      </c>
      <c r="O46" s="72">
        <v>2</v>
      </c>
    </row>
    <row r="47" spans="3:23" x14ac:dyDescent="0.2">
      <c r="N47" s="316" t="s">
        <v>256</v>
      </c>
      <c r="O47">
        <v>32</v>
      </c>
    </row>
    <row r="48" spans="3:23" x14ac:dyDescent="0.2">
      <c r="N48" t="s">
        <v>257</v>
      </c>
      <c r="O48">
        <v>36.75</v>
      </c>
    </row>
    <row r="49" spans="14:15" x14ac:dyDescent="0.2">
      <c r="N49" t="s">
        <v>145</v>
      </c>
      <c r="O49">
        <v>47</v>
      </c>
    </row>
    <row r="50" spans="14:15" x14ac:dyDescent="0.2">
      <c r="N50" t="s">
        <v>129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77" t="s">
        <v>87</v>
      </c>
      <c r="F6" s="377"/>
      <c r="G6" s="377"/>
      <c r="H6" s="377"/>
      <c r="I6" s="377"/>
      <c r="J6" s="377"/>
      <c r="K6" s="377"/>
      <c r="L6" s="377"/>
      <c r="M6" s="377"/>
      <c r="N6" s="377"/>
      <c r="O6" s="377"/>
      <c r="P6" s="377"/>
      <c r="Q6" s="377"/>
      <c r="R6" s="377"/>
    </row>
    <row r="7" spans="1:18" x14ac:dyDescent="0.2">
      <c r="A7" s="376" t="s">
        <v>88</v>
      </c>
      <c r="B7" s="376"/>
      <c r="C7" s="376"/>
      <c r="D7" s="37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76" t="s">
        <v>89</v>
      </c>
      <c r="C8" s="376"/>
      <c r="D8" s="376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76" t="s">
        <v>90</v>
      </c>
      <c r="C9" s="376"/>
      <c r="D9" s="376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76" t="s">
        <v>91</v>
      </c>
      <c r="C10" s="376"/>
      <c r="D10" s="376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76" t="s">
        <v>58</v>
      </c>
      <c r="C11" s="376"/>
      <c r="D11" s="376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76" t="s">
        <v>34</v>
      </c>
      <c r="D13" s="376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76" t="s">
        <v>89</v>
      </c>
      <c r="C19" s="376"/>
      <c r="D19" s="376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76" t="s">
        <v>90</v>
      </c>
      <c r="C20" s="376"/>
      <c r="D20" s="376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76" t="s">
        <v>91</v>
      </c>
      <c r="C21" s="376"/>
      <c r="D21" s="376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76" t="s">
        <v>58</v>
      </c>
      <c r="C22" s="376"/>
      <c r="D22" s="376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78" t="s">
        <v>95</v>
      </c>
      <c r="I27" s="378"/>
      <c r="J27" s="378"/>
      <c r="K27" s="378"/>
      <c r="L27" s="378"/>
      <c r="M27" s="378"/>
      <c r="N27" s="378"/>
      <c r="O27" s="378"/>
      <c r="P27" s="378"/>
      <c r="Q27" s="378"/>
      <c r="R27" s="378"/>
      <c r="S27" s="378"/>
      <c r="T27" s="378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79" t="s">
        <v>99</v>
      </c>
      <c r="G37" s="379"/>
      <c r="H37" s="379"/>
      <c r="I37" s="379"/>
      <c r="J37" s="379"/>
      <c r="K37" s="379"/>
      <c r="L37" s="379"/>
      <c r="M37" s="379"/>
      <c r="N37" s="379"/>
      <c r="O37" s="379"/>
      <c r="P37" s="379"/>
      <c r="Q37" s="379"/>
      <c r="R37" s="379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78" t="s">
        <v>101</v>
      </c>
      <c r="G48" s="378"/>
      <c r="H48" s="378"/>
      <c r="I48" s="378"/>
      <c r="J48" s="378"/>
      <c r="K48" s="378"/>
      <c r="L48" s="378"/>
      <c r="M48" s="378"/>
      <c r="N48" s="378"/>
      <c r="O48" s="378"/>
      <c r="P48" s="378"/>
      <c r="Q48" s="378"/>
      <c r="R48" s="378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57" t="s">
        <v>32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15">
      <c r="A6" s="359" t="s">
        <v>33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60" t="s">
        <v>34</v>
      </c>
      <c r="S8" s="361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80" t="s">
        <v>42</v>
      </c>
      <c r="E75" s="381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schemas.microsoft.com/office/infopath/2007/PartnerControls"/>
    <ds:schemaRef ds:uri="66951ee6-cd93-49c7-9437-e871b2a117d6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cac5d118-ba7b-4807-b700-df6f95cfff50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main</vt:lpstr>
      <vt:lpstr>PPP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2021-05-22T16:47:24Z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