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6916A73-C3E2-41B2-B431-EA9AB4F94F3A}" xr6:coauthVersionLast="45" xr6:coauthVersionMax="45" xr10:uidLastSave="{00000000-0000-0000-0000-000000000000}"/>
  <bookViews>
    <workbookView xWindow="-110" yWindow="-110" windowWidth="19420" windowHeight="10420" firstSheet="18" activeTab="2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7" i="59" l="1"/>
  <c r="D3" i="50" s="1"/>
  <c r="D5" i="50"/>
  <c r="E5" i="50"/>
  <c r="F5" i="50"/>
  <c r="G5" i="50"/>
  <c r="H5" i="50"/>
  <c r="C5" i="50"/>
  <c r="D4" i="50"/>
  <c r="E4" i="50"/>
  <c r="F4" i="50"/>
  <c r="G4" i="50"/>
  <c r="H4" i="50"/>
  <c r="C4" i="50"/>
  <c r="E3" i="50"/>
  <c r="F3" i="50"/>
  <c r="G3" i="50"/>
  <c r="H3" i="50"/>
  <c r="C3" i="50"/>
  <c r="R13" i="48" l="1"/>
  <c r="F59" i="59"/>
  <c r="U12" i="59" l="1"/>
  <c r="S12" i="59"/>
  <c r="E59" i="59"/>
  <c r="E63" i="59" s="1"/>
  <c r="P27" i="59" l="1"/>
  <c r="Q27" i="59"/>
  <c r="R27" i="59"/>
  <c r="S27" i="59"/>
  <c r="T27" i="59"/>
  <c r="U27" i="59"/>
  <c r="V27" i="59"/>
  <c r="W27" i="59"/>
  <c r="X27" i="59"/>
  <c r="Y27" i="59"/>
  <c r="Z27" i="59"/>
  <c r="AA27" i="59"/>
  <c r="AB27" i="59"/>
  <c r="AC27" i="59"/>
  <c r="E27" i="59"/>
  <c r="F27" i="59"/>
  <c r="G27" i="59"/>
  <c r="H27" i="59"/>
  <c r="I27" i="59"/>
  <c r="J27" i="59"/>
  <c r="L27" i="59"/>
  <c r="M27" i="59"/>
  <c r="N27" i="59"/>
  <c r="O27" i="59"/>
  <c r="D27" i="59"/>
  <c r="Q14" i="20"/>
  <c r="R14" i="20"/>
  <c r="S14" i="20"/>
  <c r="T14" i="20"/>
  <c r="U14" i="20"/>
  <c r="V14" i="20"/>
  <c r="W14" i="20"/>
  <c r="X14" i="20"/>
  <c r="Y14" i="20"/>
  <c r="Z14" i="20"/>
  <c r="AA14" i="20"/>
  <c r="AB14" i="20"/>
  <c r="AC14" i="20"/>
  <c r="P14" i="20"/>
  <c r="S18" i="26" l="1"/>
  <c r="R18" i="26"/>
  <c r="Q18" i="26"/>
  <c r="P18" i="26"/>
  <c r="AC20" i="26"/>
  <c r="AB20" i="26"/>
  <c r="AA20" i="26"/>
  <c r="Z20" i="26"/>
  <c r="Y20" i="26"/>
  <c r="X20" i="26"/>
  <c r="W20" i="26"/>
  <c r="V20" i="26"/>
  <c r="U20" i="26"/>
  <c r="T20" i="26"/>
  <c r="S20" i="26"/>
  <c r="R20" i="26"/>
  <c r="Q20" i="26"/>
  <c r="P20" i="26"/>
  <c r="D19" i="49"/>
  <c r="P23" i="59"/>
  <c r="Q23" i="59"/>
  <c r="R23" i="59"/>
  <c r="S23" i="59"/>
  <c r="T23" i="59"/>
  <c r="U23" i="59"/>
  <c r="V23" i="59"/>
  <c r="W23" i="59"/>
  <c r="X23" i="59"/>
  <c r="Y23" i="59"/>
  <c r="Z23" i="59"/>
  <c r="AA23" i="59"/>
  <c r="AB23" i="59"/>
  <c r="AC23" i="59"/>
  <c r="O12" i="59"/>
  <c r="G60" i="59"/>
  <c r="F60" i="59"/>
  <c r="E60" i="59"/>
  <c r="D60" i="59"/>
  <c r="G58" i="59"/>
  <c r="G57" i="59"/>
  <c r="F57" i="59"/>
  <c r="F58" i="59" s="1"/>
  <c r="E57" i="59"/>
  <c r="E58" i="59" s="1"/>
  <c r="D57" i="59"/>
  <c r="D58" i="59" s="1"/>
  <c r="G25" i="48"/>
  <c r="M25" i="48"/>
  <c r="G26" i="48"/>
  <c r="M26" i="48"/>
  <c r="M30" i="48" s="1"/>
  <c r="G27" i="48"/>
  <c r="M27" i="48"/>
  <c r="G28" i="48"/>
  <c r="M28" i="48"/>
  <c r="H29" i="48"/>
  <c r="I29" i="48"/>
  <c r="J29" i="48"/>
  <c r="K29" i="48"/>
  <c r="L29" i="48"/>
  <c r="M29" i="48"/>
  <c r="H30" i="48"/>
  <c r="I30" i="48"/>
  <c r="J30" i="48"/>
  <c r="K30" i="48"/>
  <c r="L30" i="48"/>
  <c r="H31" i="48"/>
  <c r="I31" i="48"/>
  <c r="P12" i="48" s="1"/>
  <c r="J31" i="48"/>
  <c r="K31" i="48"/>
  <c r="L31" i="48"/>
  <c r="M31" i="48"/>
  <c r="H32" i="48"/>
  <c r="I32" i="48"/>
  <c r="J32" i="48"/>
  <c r="K32" i="48"/>
  <c r="L32" i="48"/>
  <c r="M32" i="48"/>
  <c r="P10" i="48"/>
  <c r="P13" i="48"/>
  <c r="Q13" i="48" s="1"/>
  <c r="S13" i="48" s="1"/>
  <c r="T13" i="48" s="1"/>
  <c r="U13" i="48" s="1"/>
  <c r="V13" i="48" s="1"/>
  <c r="W13" i="48" s="1"/>
  <c r="X13" i="48" s="1"/>
  <c r="Y13" i="48" s="1"/>
  <c r="Z13" i="48" s="1"/>
  <c r="AA13" i="48" s="1"/>
  <c r="AB13" i="48" s="1"/>
  <c r="AC13" i="48" s="1"/>
  <c r="P11" i="48"/>
  <c r="Q11" i="48" s="1"/>
  <c r="Q12" i="48" l="1"/>
  <c r="P28" i="48"/>
  <c r="P32" i="48" s="1"/>
  <c r="O28" i="48"/>
  <c r="O32" i="48" s="1"/>
  <c r="N28" i="48"/>
  <c r="N32" i="48" s="1"/>
  <c r="Q28" i="48"/>
  <c r="N26" i="48"/>
  <c r="N30" i="48" s="1"/>
  <c r="R11" i="48"/>
  <c r="S11" i="48" s="1"/>
  <c r="T11" i="48" s="1"/>
  <c r="R12" i="48"/>
  <c r="S12" i="48" s="1"/>
  <c r="T12" i="48" s="1"/>
  <c r="Q10" i="48"/>
  <c r="P9" i="48"/>
  <c r="I44" i="30"/>
  <c r="M44" i="30"/>
  <c r="N27" i="48" l="1"/>
  <c r="N31" i="48" s="1"/>
  <c r="U12" i="48"/>
  <c r="V12" i="48" s="1"/>
  <c r="W12" i="48" s="1"/>
  <c r="X12" i="48" s="1"/>
  <c r="U11" i="48"/>
  <c r="V11" i="48" s="1"/>
  <c r="W11" i="48" s="1"/>
  <c r="X11" i="48" s="1"/>
  <c r="Q9" i="48"/>
  <c r="R10" i="48"/>
  <c r="L13" i="48"/>
  <c r="L44" i="30"/>
  <c r="L12" i="30"/>
  <c r="G44" i="30"/>
  <c r="O44" i="30"/>
  <c r="H74" i="26"/>
  <c r="O26" i="48" l="1"/>
  <c r="O30" i="48" s="1"/>
  <c r="O27" i="48"/>
  <c r="O31" i="48" s="1"/>
  <c r="Y11" i="48"/>
  <c r="Y12" i="48"/>
  <c r="R9" i="48"/>
  <c r="S10" i="48"/>
  <c r="N25" i="48" s="1"/>
  <c r="N29" i="48" s="1"/>
  <c r="D30" i="59"/>
  <c r="E30" i="59"/>
  <c r="F30" i="59"/>
  <c r="G30" i="59"/>
  <c r="H30" i="59"/>
  <c r="I30" i="59"/>
  <c r="J30" i="59"/>
  <c r="K30" i="59"/>
  <c r="L30" i="59"/>
  <c r="M30" i="59"/>
  <c r="N30" i="59"/>
  <c r="O30" i="59"/>
  <c r="D27" i="49"/>
  <c r="E27" i="49"/>
  <c r="F27" i="49"/>
  <c r="G27" i="49"/>
  <c r="D26" i="49"/>
  <c r="E26" i="49"/>
  <c r="F26" i="49"/>
  <c r="G26" i="49"/>
  <c r="D25" i="49"/>
  <c r="E25" i="49"/>
  <c r="F25" i="49"/>
  <c r="G25" i="49"/>
  <c r="Z12" i="48" l="1"/>
  <c r="S9" i="48"/>
  <c r="T10" i="48"/>
  <c r="Z11" i="48"/>
  <c r="E29" i="59"/>
  <c r="F29" i="59"/>
  <c r="G29" i="59"/>
  <c r="H29" i="59"/>
  <c r="I29" i="59"/>
  <c r="J29" i="59"/>
  <c r="K29" i="59"/>
  <c r="L29" i="59"/>
  <c r="M29" i="59"/>
  <c r="N29" i="59"/>
  <c r="O29" i="59"/>
  <c r="D29" i="59"/>
  <c r="R21" i="59"/>
  <c r="Q21" i="59"/>
  <c r="P21"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P22" i="59"/>
  <c r="J22" i="59"/>
  <c r="K22" i="59"/>
  <c r="L22" i="59"/>
  <c r="M22" i="59"/>
  <c r="O22" i="59"/>
  <c r="N22" i="59"/>
  <c r="P27" i="48" l="1"/>
  <c r="P31" i="48" s="1"/>
  <c r="T9" i="48"/>
  <c r="U10" i="48"/>
  <c r="AA11" i="48"/>
  <c r="AA12" i="48"/>
  <c r="E20" i="59"/>
  <c r="F20" i="59"/>
  <c r="G20" i="59"/>
  <c r="H20" i="59"/>
  <c r="P20" i="59"/>
  <c r="Q20" i="59"/>
  <c r="R20" i="59"/>
  <c r="S20" i="59"/>
  <c r="T20" i="59"/>
  <c r="U20" i="59"/>
  <c r="V20" i="59"/>
  <c r="W20" i="59"/>
  <c r="X20" i="59"/>
  <c r="Y20" i="59"/>
  <c r="Z20" i="59"/>
  <c r="AA20" i="59"/>
  <c r="AB20" i="59"/>
  <c r="AC20" i="59"/>
  <c r="D20" i="59"/>
  <c r="N42" i="59"/>
  <c r="L42" i="59"/>
  <c r="P19" i="59"/>
  <c r="Q19" i="59"/>
  <c r="R19" i="59"/>
  <c r="S19"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J24" i="59" s="1"/>
  <c r="K19" i="59"/>
  <c r="K24" i="59" s="1"/>
  <c r="L19" i="59"/>
  <c r="L24" i="59" s="1"/>
  <c r="M19" i="59"/>
  <c r="N19" i="59"/>
  <c r="O19" i="59"/>
  <c r="D19" i="59"/>
  <c r="D24" i="59" s="1"/>
  <c r="N18" i="59"/>
  <c r="O18" i="59"/>
  <c r="M18" i="59"/>
  <c r="N17" i="59"/>
  <c r="O17" i="59"/>
  <c r="C15" i="35" s="1"/>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G12" i="59"/>
  <c r="H12" i="59"/>
  <c r="I12" i="59"/>
  <c r="J12" i="59"/>
  <c r="K12" i="59"/>
  <c r="L12" i="59"/>
  <c r="D59" i="59" s="1"/>
  <c r="D63" i="59" s="1"/>
  <c r="M12" i="59"/>
  <c r="N12" i="59"/>
  <c r="F5" i="5"/>
  <c r="AB24" i="59" l="1"/>
  <c r="T24" i="59"/>
  <c r="F51" i="59"/>
  <c r="F25" i="59" s="1"/>
  <c r="M24" i="59"/>
  <c r="P26" i="48"/>
  <c r="P30" i="48" s="1"/>
  <c r="AB12" i="48"/>
  <c r="AC12" i="48" s="1"/>
  <c r="AB11" i="48"/>
  <c r="AC11" i="48" s="1"/>
  <c r="U9" i="48"/>
  <c r="V10" i="48"/>
  <c r="AA24" i="59"/>
  <c r="S24" i="59"/>
  <c r="E51" i="59"/>
  <c r="E25" i="59" s="1"/>
  <c r="H49" i="59"/>
  <c r="H50" i="59" s="1"/>
  <c r="X24" i="59"/>
  <c r="P24" i="59"/>
  <c r="W24" i="59"/>
  <c r="D49" i="59"/>
  <c r="D50" i="59" s="1"/>
  <c r="G49" i="59"/>
  <c r="G50" i="59" s="1"/>
  <c r="F49" i="59"/>
  <c r="F50" i="59" s="1"/>
  <c r="F53" i="59" s="1"/>
  <c r="F23" i="59" s="1"/>
  <c r="I51" i="59"/>
  <c r="E49" i="59"/>
  <c r="E50" i="59" s="1"/>
  <c r="H51" i="59"/>
  <c r="H25" i="59" s="1"/>
  <c r="G51" i="59"/>
  <c r="G25" i="59" s="1"/>
  <c r="O24" i="59"/>
  <c r="C16" i="35" s="1"/>
  <c r="N24" i="59"/>
  <c r="Z24" i="59"/>
  <c r="R24" i="59"/>
  <c r="D51" i="59"/>
  <c r="D25" i="59" s="1"/>
  <c r="Y24" i="59"/>
  <c r="Q24" i="59"/>
  <c r="V24" i="59"/>
  <c r="O42" i="59"/>
  <c r="AC24" i="59"/>
  <c r="U24" i="59"/>
  <c r="I40" i="59"/>
  <c r="I20" i="59" s="1"/>
  <c r="I49" i="59" s="1"/>
  <c r="I50" i="59" s="1"/>
  <c r="M40" i="59"/>
  <c r="M20" i="59" s="1"/>
  <c r="M49" i="59" s="1"/>
  <c r="M50" i="59" s="1"/>
  <c r="O40" i="59"/>
  <c r="O20" i="59" s="1"/>
  <c r="O49" i="59" s="1"/>
  <c r="O50" i="59" s="1"/>
  <c r="J42" i="59"/>
  <c r="N40" i="59"/>
  <c r="N20" i="59" s="1"/>
  <c r="N49" i="59" s="1"/>
  <c r="N50" i="59" s="1"/>
  <c r="K42" i="59"/>
  <c r="M42" i="59"/>
  <c r="J40" i="59"/>
  <c r="J20" i="59" s="1"/>
  <c r="J49" i="59" s="1"/>
  <c r="J50" i="59" s="1"/>
  <c r="K40" i="59"/>
  <c r="K20" i="59" s="1"/>
  <c r="K49" i="59" s="1"/>
  <c r="K50" i="59" s="1"/>
  <c r="L40" i="59"/>
  <c r="L20" i="59" s="1"/>
  <c r="L49" i="59" s="1"/>
  <c r="L50" i="59" s="1"/>
  <c r="F6" i="5"/>
  <c r="P20" i="48"/>
  <c r="O113" i="48"/>
  <c r="O11" i="30"/>
  <c r="F44" i="30"/>
  <c r="J16" i="35" l="1"/>
  <c r="D16" i="35"/>
  <c r="K16" i="35"/>
  <c r="E16" i="35"/>
  <c r="L16" i="35"/>
  <c r="M16" i="35"/>
  <c r="F16" i="35"/>
  <c r="G16" i="35"/>
  <c r="I16" i="35"/>
  <c r="N16" i="35"/>
  <c r="O16" i="35"/>
  <c r="H16" i="35"/>
  <c r="Q16" i="35"/>
  <c r="P16" i="35"/>
  <c r="I53" i="59"/>
  <c r="I23" i="59" s="1"/>
  <c r="Q26" i="48"/>
  <c r="Q27" i="48"/>
  <c r="W10" i="48"/>
  <c r="O25" i="48" s="1"/>
  <c r="O29" i="48" s="1"/>
  <c r="V9" i="48"/>
  <c r="E53" i="59"/>
  <c r="E23" i="59" s="1"/>
  <c r="G53" i="59"/>
  <c r="G23" i="59" s="1"/>
  <c r="I25" i="59"/>
  <c r="J51" i="59"/>
  <c r="J25" i="59" s="1"/>
  <c r="D53" i="59"/>
  <c r="D23" i="59" s="1"/>
  <c r="H53" i="59"/>
  <c r="H23" i="59" s="1"/>
  <c r="X10" i="48" l="1"/>
  <c r="W9" i="48"/>
  <c r="J53" i="59"/>
  <c r="J23" i="59" s="1"/>
  <c r="K51" i="59"/>
  <c r="E6" i="5"/>
  <c r="E7" i="5"/>
  <c r="E8" i="5"/>
  <c r="E9" i="5"/>
  <c r="E10" i="5"/>
  <c r="E11" i="5"/>
  <c r="E12" i="5"/>
  <c r="E13" i="5"/>
  <c r="E14" i="5"/>
  <c r="E15" i="5"/>
  <c r="E5" i="5"/>
  <c r="Y10" i="48" l="1"/>
  <c r="X9" i="48"/>
  <c r="K25" i="59"/>
  <c r="L51" i="59"/>
  <c r="K53" i="59"/>
  <c r="K23" i="59" s="1"/>
  <c r="G108" i="48"/>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I102" i="48"/>
  <c r="J102" i="48"/>
  <c r="J106" i="48" s="1"/>
  <c r="K102" i="48"/>
  <c r="L102" i="48"/>
  <c r="M102" i="48"/>
  <c r="M106" i="48" s="1"/>
  <c r="N102" i="48"/>
  <c r="N106" i="48" s="1"/>
  <c r="O102" i="48"/>
  <c r="O106" i="48" s="1"/>
  <c r="F102" i="48"/>
  <c r="H106" i="48"/>
  <c r="I106" i="48"/>
  <c r="K106" i="48"/>
  <c r="L106" i="48"/>
  <c r="F106" i="48"/>
  <c r="O22" i="30"/>
  <c r="N22" i="30"/>
  <c r="O23" i="30"/>
  <c r="N23" i="30"/>
  <c r="F13" i="27"/>
  <c r="Y9" i="48" l="1"/>
  <c r="Z10" i="48"/>
  <c r="L25" i="59"/>
  <c r="M51" i="59"/>
  <c r="L53" i="59"/>
  <c r="L23" i="59" s="1"/>
  <c r="F101" i="48"/>
  <c r="O25" i="30"/>
  <c r="D10" i="26"/>
  <c r="E10" i="26"/>
  <c r="F10" i="26"/>
  <c r="G10" i="26"/>
  <c r="D9" i="26"/>
  <c r="E9" i="26"/>
  <c r="F9" i="26"/>
  <c r="G9" i="26"/>
  <c r="L47" i="38"/>
  <c r="D90" i="55"/>
  <c r="Z9" i="48" l="1"/>
  <c r="AA10" i="48"/>
  <c r="N51" i="59"/>
  <c r="M25" i="59"/>
  <c r="M53" i="59"/>
  <c r="M23" i="59" s="1"/>
  <c r="F11" i="26"/>
  <c r="F20" i="26" s="1"/>
  <c r="E11" i="26"/>
  <c r="E20" i="26" s="1"/>
  <c r="D11" i="26"/>
  <c r="D20" i="26" s="1"/>
  <c r="G11" i="26"/>
  <c r="G20" i="26" s="1"/>
  <c r="AD16" i="26"/>
  <c r="AD15" i="26"/>
  <c r="U14" i="26"/>
  <c r="O22" i="25"/>
  <c r="P25" i="48" l="1"/>
  <c r="P29" i="48" s="1"/>
  <c r="AA9" i="48"/>
  <c r="AB10" i="48"/>
  <c r="Q25" i="48" s="1"/>
  <c r="O51" i="59"/>
  <c r="N25" i="59"/>
  <c r="N53" i="59"/>
  <c r="N23" i="59" s="1"/>
  <c r="O101" i="48"/>
  <c r="O17" i="48"/>
  <c r="O18" i="48"/>
  <c r="O111" i="48" s="1"/>
  <c r="O19" i="48"/>
  <c r="O112" i="48" s="1"/>
  <c r="O10" i="48"/>
  <c r="O11" i="48"/>
  <c r="O97" i="48" s="1"/>
  <c r="O12" i="48"/>
  <c r="O98" i="48" s="1"/>
  <c r="O9" i="29"/>
  <c r="O10" i="29" s="1"/>
  <c r="O11" i="33"/>
  <c r="O12" i="33" s="1"/>
  <c r="O9" i="49"/>
  <c r="O10" i="49"/>
  <c r="O14" i="30"/>
  <c r="O16" i="30"/>
  <c r="O17" i="30"/>
  <c r="O18" i="30"/>
  <c r="O19" i="30"/>
  <c r="O20" i="30"/>
  <c r="O21" i="30"/>
  <c r="O26" i="20"/>
  <c r="O9" i="20"/>
  <c r="O14"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9" i="48" l="1"/>
  <c r="AC10" i="48"/>
  <c r="AC9" i="48" s="1"/>
  <c r="O25" i="49"/>
  <c r="O31" i="59"/>
  <c r="P51" i="59"/>
  <c r="O25" i="59"/>
  <c r="O53" i="59"/>
  <c r="O23" i="59" s="1"/>
  <c r="O96" i="48"/>
  <c r="O110" i="48"/>
  <c r="O11" i="49"/>
  <c r="O12" i="49" s="1"/>
  <c r="O26" i="49" s="1"/>
  <c r="O55" i="38"/>
  <c r="O56" i="38" s="1"/>
  <c r="P53" i="38" s="1"/>
  <c r="P54" i="38" s="1"/>
  <c r="O11" i="26"/>
  <c r="O14" i="40"/>
  <c r="O28"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D61" i="59" l="1"/>
  <c r="C18" i="35"/>
  <c r="C17" i="35"/>
  <c r="P25" i="59"/>
  <c r="Q51" i="59"/>
  <c r="O65" i="38"/>
  <c r="P64" i="38"/>
  <c r="P12" i="59" l="1"/>
  <c r="D17" i="35"/>
  <c r="R51" i="59"/>
  <c r="Q25" i="59"/>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E17" i="35" l="1"/>
  <c r="Q12" i="59"/>
  <c r="S51" i="59"/>
  <c r="R25" i="59"/>
  <c r="F9" i="48"/>
  <c r="G110"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F17" i="35" l="1"/>
  <c r="R12" i="59"/>
  <c r="T51" i="59"/>
  <c r="S25" i="59"/>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G17" i="35" l="1"/>
  <c r="E61" i="59"/>
  <c r="U51" i="59"/>
  <c r="T25" i="59"/>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T12" i="59" l="1"/>
  <c r="H17" i="35"/>
  <c r="U25" i="59"/>
  <c r="V51" i="59"/>
  <c r="L40" i="48"/>
  <c r="L71" i="48" s="1"/>
  <c r="K40" i="48"/>
  <c r="K71" i="48" s="1"/>
  <c r="J40" i="48"/>
  <c r="J71" i="48" s="1"/>
  <c r="I40" i="48"/>
  <c r="I71" i="48" s="1"/>
  <c r="H40" i="48"/>
  <c r="H71" i="48" s="1"/>
  <c r="I17" i="35" l="1"/>
  <c r="W51" i="59"/>
  <c r="V25" i="59"/>
  <c r="D27" i="25"/>
  <c r="K19" i="26"/>
  <c r="L19" i="26"/>
  <c r="M19" i="26"/>
  <c r="N19" i="26"/>
  <c r="J12" i="26"/>
  <c r="J17" i="35" l="1"/>
  <c r="V12" i="59"/>
  <c r="X51" i="59"/>
  <c r="W25" i="59"/>
  <c r="C13" i="35"/>
  <c r="C14" i="35"/>
  <c r="K17" i="35" l="1"/>
  <c r="W12" i="59"/>
  <c r="F63" i="59" s="1"/>
  <c r="F61" i="59"/>
  <c r="X25" i="59"/>
  <c r="Y51"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X12" i="59" l="1"/>
  <c r="L17" i="35"/>
  <c r="Z51" i="59"/>
  <c r="Y25" i="59"/>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M17" i="35" l="1"/>
  <c r="Y12" i="59"/>
  <c r="AA51" i="59"/>
  <c r="Z25" i="59"/>
  <c r="Z12" i="59" s="1"/>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6" i="20"/>
  <c r="N28" i="20" s="1"/>
  <c r="N9" i="20"/>
  <c r="N14" i="20" s="1"/>
  <c r="F28" i="46"/>
  <c r="G28" i="46" s="1"/>
  <c r="F29" i="46"/>
  <c r="G29" i="46" s="1"/>
  <c r="F30" i="46"/>
  <c r="G30" i="46" s="1"/>
  <c r="F31" i="46"/>
  <c r="G31" i="46" s="1"/>
  <c r="N17" i="35" l="1"/>
  <c r="N25" i="49"/>
  <c r="N31" i="59"/>
  <c r="AB51" i="59"/>
  <c r="AA25" i="59"/>
  <c r="N10" i="33"/>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17" i="35" l="1"/>
  <c r="AA12" i="59"/>
  <c r="G59" i="59" s="1"/>
  <c r="G63" i="59" s="1"/>
  <c r="G61" i="59"/>
  <c r="O32" i="59"/>
  <c r="AC51" i="59"/>
  <c r="AC25" i="59" s="1"/>
  <c r="AB25" i="59"/>
  <c r="P12" i="33"/>
  <c r="O10" i="33"/>
  <c r="Q110" i="48"/>
  <c r="P17" i="48"/>
  <c r="J77"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P17" i="35" l="1"/>
  <c r="AB12" i="59"/>
  <c r="Q17" i="35"/>
  <c r="AC12" i="59"/>
  <c r="Q12" i="33"/>
  <c r="P11" i="33"/>
  <c r="P10" i="33" s="1"/>
  <c r="R110" i="48"/>
  <c r="Q17" i="48"/>
  <c r="K77" i="48"/>
  <c r="Z9" i="20"/>
  <c r="C4" i="35"/>
  <c r="I10" i="26"/>
  <c r="J10" i="26"/>
  <c r="K10" i="26"/>
  <c r="L10" i="26"/>
  <c r="M10" i="26"/>
  <c r="H10" i="26"/>
  <c r="R12" i="33" l="1"/>
  <c r="Q11" i="33"/>
  <c r="S110" i="48"/>
  <c r="R17" i="48"/>
  <c r="I46" i="48"/>
  <c r="I53" i="48" s="1"/>
  <c r="L77" i="48"/>
  <c r="AA9" i="20"/>
  <c r="B21" i="51"/>
  <c r="B20" i="51"/>
  <c r="B19" i="51"/>
  <c r="B18" i="51"/>
  <c r="B17" i="51"/>
  <c r="R11" i="33" l="1"/>
  <c r="S12" i="33"/>
  <c r="S17" i="48"/>
  <c r="T110" i="48"/>
  <c r="N4" i="35"/>
  <c r="O6" i="55" s="1"/>
  <c r="AB9" i="20"/>
  <c r="B16" i="51"/>
  <c r="B15" i="51"/>
  <c r="B14" i="51"/>
  <c r="B13" i="51"/>
  <c r="B12" i="51"/>
  <c r="B11" i="51"/>
  <c r="B10" i="51"/>
  <c r="O81" i="55" l="1"/>
  <c r="O56" i="55"/>
  <c r="T12" i="33"/>
  <c r="S11" i="33"/>
  <c r="U110" i="48"/>
  <c r="T17" i="48"/>
  <c r="J46" i="48"/>
  <c r="J53" i="48" s="1"/>
  <c r="O4" i="35"/>
  <c r="P6" i="55" s="1"/>
  <c r="AC9" i="20"/>
  <c r="Q4" i="35" s="1"/>
  <c r="R6" i="55" s="1"/>
  <c r="P4" i="35"/>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V12" i="33" l="1"/>
  <c r="U11" i="33"/>
  <c r="V17" i="48"/>
  <c r="W110" i="48"/>
  <c r="S13" i="33"/>
  <c r="R10" i="33"/>
  <c r="N3" i="35"/>
  <c r="O5" i="55" s="1"/>
  <c r="O3" i="35"/>
  <c r="P5" i="55" s="1"/>
  <c r="AA47" i="20"/>
  <c r="Q3" i="35"/>
  <c r="R5" i="55" s="1"/>
  <c r="AC47" i="20"/>
  <c r="P3" i="35"/>
  <c r="Q5" i="55" s="1"/>
  <c r="AB47" i="20"/>
  <c r="P80" i="55" l="1"/>
  <c r="P55" i="55"/>
  <c r="O80" i="55"/>
  <c r="O55" i="55"/>
  <c r="W12" i="33"/>
  <c r="V11" i="33"/>
  <c r="Q55" i="55"/>
  <c r="Q80" i="55"/>
  <c r="R80" i="55"/>
  <c r="R55" i="55"/>
  <c r="W17" i="48"/>
  <c r="X110" i="48"/>
  <c r="T13" i="33"/>
  <c r="S10" i="33"/>
  <c r="Y16" i="26"/>
  <c r="X12" i="33" l="1"/>
  <c r="W11" i="33"/>
  <c r="X17" i="48"/>
  <c r="Y110"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110" i="48"/>
  <c r="V13" i="33"/>
  <c r="U10" i="33"/>
  <c r="Y11" i="33" l="1"/>
  <c r="Z12" i="33"/>
  <c r="Z17" i="48"/>
  <c r="AA110" i="48"/>
  <c r="W13" i="33"/>
  <c r="V10" i="33"/>
  <c r="E9" i="49"/>
  <c r="E31" i="59" s="1"/>
  <c r="F9" i="49"/>
  <c r="F31" i="59" s="1"/>
  <c r="G9" i="49"/>
  <c r="G31" i="59" s="1"/>
  <c r="H9" i="49"/>
  <c r="I9" i="49"/>
  <c r="J9" i="49"/>
  <c r="K9" i="49"/>
  <c r="L9" i="49"/>
  <c r="M9" i="49"/>
  <c r="D9" i="49"/>
  <c r="D31" i="59" s="1"/>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M99" i="48" s="1"/>
  <c r="H13" i="48"/>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M9" i="48" l="1"/>
  <c r="F32" i="59"/>
  <c r="M25" i="49"/>
  <c r="F44" i="49" s="1"/>
  <c r="N12" i="49" s="1"/>
  <c r="M31" i="59"/>
  <c r="E32" i="59"/>
  <c r="K25" i="49"/>
  <c r="K31" i="59"/>
  <c r="J25" i="49"/>
  <c r="J31" i="59"/>
  <c r="L25" i="49"/>
  <c r="L31" i="59"/>
  <c r="I25" i="49"/>
  <c r="I31" i="59"/>
  <c r="H25" i="49"/>
  <c r="H31" i="59"/>
  <c r="H32" i="59" s="1"/>
  <c r="G32" i="59"/>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H80" i="48"/>
  <c r="X13" i="33"/>
  <c r="W10" i="33"/>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J32" i="59" l="1"/>
  <c r="I26" i="49"/>
  <c r="I27" i="49" s="1"/>
  <c r="M26" i="49"/>
  <c r="M27" i="49" s="1"/>
  <c r="K26" i="49"/>
  <c r="K27" i="49" s="1"/>
  <c r="I32" i="59"/>
  <c r="P31" i="59" s="1"/>
  <c r="Q31" i="59" s="1"/>
  <c r="K32" i="59"/>
  <c r="H26" i="49"/>
  <c r="H27" i="49" s="1"/>
  <c r="J26" i="49"/>
  <c r="J27" i="49" s="1"/>
  <c r="M32" i="59"/>
  <c r="N32" i="59"/>
  <c r="L32" i="59"/>
  <c r="AB12" i="33"/>
  <c r="AA11" i="33"/>
  <c r="AB17" i="48"/>
  <c r="AC110" i="48"/>
  <c r="AC17" i="48" s="1"/>
  <c r="P111" i="48"/>
  <c r="P112" i="48"/>
  <c r="C22" i="35"/>
  <c r="D24" i="55" s="1"/>
  <c r="D99" i="55" s="1"/>
  <c r="K79" i="48"/>
  <c r="Y13" i="33"/>
  <c r="X10" i="33"/>
  <c r="J78" i="48"/>
  <c r="D12" i="49"/>
  <c r="T11" i="49"/>
  <c r="U11" i="49" s="1"/>
  <c r="V11" i="49" s="1"/>
  <c r="W11" i="49" s="1"/>
  <c r="X11" i="49" s="1"/>
  <c r="Y11" i="49" s="1"/>
  <c r="Z11" i="49" s="1"/>
  <c r="AA11" i="49" s="1"/>
  <c r="AB11" i="49" s="1"/>
  <c r="AC11" i="49" s="1"/>
  <c r="S11" i="49"/>
  <c r="L12" i="49"/>
  <c r="C17" i="49"/>
  <c r="C18" i="49" s="1"/>
  <c r="D18" i="35" l="1"/>
  <c r="R31" i="59"/>
  <c r="E18" i="35"/>
  <c r="AB11" i="33"/>
  <c r="AC12" i="33"/>
  <c r="AC11" i="33" s="1"/>
  <c r="D22" i="35"/>
  <c r="E24" i="55" s="1"/>
  <c r="Q113" i="48"/>
  <c r="D74" i="55"/>
  <c r="Q112" i="48"/>
  <c r="P19" i="48"/>
  <c r="Q111" i="48"/>
  <c r="P18" i="48"/>
  <c r="J80" i="48"/>
  <c r="K80" i="48" s="1"/>
  <c r="I49" i="48"/>
  <c r="I56" i="48" s="1"/>
  <c r="J48" i="48"/>
  <c r="J55" i="48" s="1"/>
  <c r="L79" i="48"/>
  <c r="Z13" i="33"/>
  <c r="Y10" i="33"/>
  <c r="I48" i="48"/>
  <c r="I55" i="48" s="1"/>
  <c r="K78" i="48"/>
  <c r="L26" i="49"/>
  <c r="L27" i="49" s="1"/>
  <c r="C21" i="35"/>
  <c r="E17" i="49"/>
  <c r="E18" i="49" s="1"/>
  <c r="D17" i="49"/>
  <c r="D18" i="49" s="1"/>
  <c r="F17" i="49"/>
  <c r="L80" i="48" l="1"/>
  <c r="S31" i="59"/>
  <c r="F18" i="35"/>
  <c r="P16" i="48"/>
  <c r="C11" i="35"/>
  <c r="R112" i="48"/>
  <c r="Q19" i="48"/>
  <c r="Q18" i="48"/>
  <c r="R111" i="48"/>
  <c r="R113" i="48"/>
  <c r="Q20" i="48"/>
  <c r="E22" i="35" s="1"/>
  <c r="F24" i="55" s="1"/>
  <c r="E99" i="55"/>
  <c r="E74" i="55"/>
  <c r="K48" i="48"/>
  <c r="K55" i="48" s="1"/>
  <c r="AA13" i="33"/>
  <c r="Z10" i="33"/>
  <c r="L78" i="48"/>
  <c r="I47" i="48"/>
  <c r="I54" i="48" s="1"/>
  <c r="J47" i="48"/>
  <c r="J54" i="48" s="1"/>
  <c r="P25" i="49"/>
  <c r="P30" i="59" s="1"/>
  <c r="D23" i="55"/>
  <c r="D98" i="55" s="1"/>
  <c r="F18" i="49"/>
  <c r="G17" i="49"/>
  <c r="G18" i="49" s="1"/>
  <c r="T31" i="59" l="1"/>
  <c r="G18" i="35"/>
  <c r="F99" i="55"/>
  <c r="F74" i="55"/>
  <c r="S113" i="48"/>
  <c r="R20" i="48"/>
  <c r="F22" i="35" s="1"/>
  <c r="G24" i="55" s="1"/>
  <c r="R18" i="48"/>
  <c r="S111" i="48"/>
  <c r="R19" i="48"/>
  <c r="S112" i="48"/>
  <c r="K49" i="48"/>
  <c r="K56" i="48" s="1"/>
  <c r="J49" i="48"/>
  <c r="J56" i="48" s="1"/>
  <c r="K47" i="48"/>
  <c r="K54" i="48" s="1"/>
  <c r="AB13" i="33"/>
  <c r="AA10" i="33"/>
  <c r="D73" i="55"/>
  <c r="D21" i="35"/>
  <c r="E23" i="55" s="1"/>
  <c r="E98" i="55" s="1"/>
  <c r="U31" i="59" l="1"/>
  <c r="H18" i="35"/>
  <c r="T111" i="48"/>
  <c r="S18" i="48"/>
  <c r="T113" i="48"/>
  <c r="S20" i="48"/>
  <c r="G22" i="35" s="1"/>
  <c r="H24" i="55" s="1"/>
  <c r="G99" i="55"/>
  <c r="G74" i="55"/>
  <c r="T112" i="48"/>
  <c r="S19" i="48"/>
  <c r="AC13" i="33"/>
  <c r="AC10" i="33" s="1"/>
  <c r="AB10" i="33"/>
  <c r="E73" i="55"/>
  <c r="E21" i="35"/>
  <c r="F23" i="55" s="1"/>
  <c r="F98" i="55" s="1"/>
  <c r="V31" i="59" l="1"/>
  <c r="I18" i="35"/>
  <c r="U111" i="48"/>
  <c r="T18" i="48"/>
  <c r="U112" i="48"/>
  <c r="T19" i="48"/>
  <c r="U113" i="48"/>
  <c r="T20" i="48"/>
  <c r="H22" i="35" s="1"/>
  <c r="I24" i="55" s="1"/>
  <c r="H99" i="55"/>
  <c r="H74" i="55"/>
  <c r="F73" i="55"/>
  <c r="F21" i="35"/>
  <c r="G23" i="55" s="1"/>
  <c r="G98" i="55" s="1"/>
  <c r="W31" i="59" l="1"/>
  <c r="J18" i="35"/>
  <c r="I99" i="55"/>
  <c r="I74" i="55"/>
  <c r="V113" i="48"/>
  <c r="U20" i="48"/>
  <c r="I22" i="35" s="1"/>
  <c r="J24" i="55" s="1"/>
  <c r="V112" i="48"/>
  <c r="U19" i="48"/>
  <c r="V111" i="48"/>
  <c r="U18" i="48"/>
  <c r="G73" i="55"/>
  <c r="G21" i="35"/>
  <c r="H23" i="55" s="1"/>
  <c r="H98" i="55" s="1"/>
  <c r="X31" i="59" l="1"/>
  <c r="K18" i="35"/>
  <c r="W111" i="48"/>
  <c r="V18" i="48"/>
  <c r="V19" i="48"/>
  <c r="W112" i="48"/>
  <c r="W113" i="48"/>
  <c r="V20" i="48"/>
  <c r="J22" i="35" s="1"/>
  <c r="K24" i="55" s="1"/>
  <c r="J99" i="55"/>
  <c r="J74" i="55"/>
  <c r="H73" i="55"/>
  <c r="H21" i="35"/>
  <c r="I23" i="55" s="1"/>
  <c r="I98" i="55" s="1"/>
  <c r="Y31" i="59" l="1"/>
  <c r="L18" i="35"/>
  <c r="K99" i="55"/>
  <c r="K74" i="55"/>
  <c r="W19" i="48"/>
  <c r="X112" i="48"/>
  <c r="X113" i="48"/>
  <c r="W20" i="48"/>
  <c r="K22" i="35" s="1"/>
  <c r="L24" i="55" s="1"/>
  <c r="X111" i="48"/>
  <c r="W18" i="48"/>
  <c r="I73" i="55"/>
  <c r="I21" i="35"/>
  <c r="J23" i="55" s="1"/>
  <c r="J98" i="55" s="1"/>
  <c r="Z31" i="59" l="1"/>
  <c r="M18" i="35"/>
  <c r="Y111" i="48"/>
  <c r="X18" i="48"/>
  <c r="X19" i="48"/>
  <c r="Y112" i="48"/>
  <c r="L99" i="55"/>
  <c r="L74" i="55"/>
  <c r="Y113" i="48"/>
  <c r="X20" i="48"/>
  <c r="L22" i="35" s="1"/>
  <c r="M24" i="55" s="1"/>
  <c r="J73" i="55"/>
  <c r="J21" i="35"/>
  <c r="K23" i="55" s="1"/>
  <c r="K98" i="55" s="1"/>
  <c r="AA31" i="59" l="1"/>
  <c r="N18" i="35"/>
  <c r="Z112" i="48"/>
  <c r="Y19" i="48"/>
  <c r="Y20" i="48"/>
  <c r="M22" i="35" s="1"/>
  <c r="N24" i="55" s="1"/>
  <c r="Z113" i="48"/>
  <c r="M99" i="55"/>
  <c r="M74" i="55"/>
  <c r="Z111" i="48"/>
  <c r="Y18" i="48"/>
  <c r="K73" i="55"/>
  <c r="K21" i="35"/>
  <c r="L23" i="55" s="1"/>
  <c r="L98" i="55" s="1"/>
  <c r="AB31" i="59" l="1"/>
  <c r="O18" i="35"/>
  <c r="N99" i="55"/>
  <c r="N74" i="55"/>
  <c r="AA111" i="48"/>
  <c r="Z18" i="48"/>
  <c r="AA113" i="48"/>
  <c r="Z20" i="48"/>
  <c r="N22" i="35" s="1"/>
  <c r="O24" i="55" s="1"/>
  <c r="AA112" i="48"/>
  <c r="Z19" i="48"/>
  <c r="N21" i="35"/>
  <c r="O23" i="55" s="1"/>
  <c r="L73" i="55"/>
  <c r="M21" i="35"/>
  <c r="N23" i="55" s="1"/>
  <c r="N98" i="55" s="1"/>
  <c r="L21" i="35"/>
  <c r="M23" i="55" s="1"/>
  <c r="M98" i="55" s="1"/>
  <c r="AC31" i="59" l="1"/>
  <c r="Q18" i="35" s="1"/>
  <c r="P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113" i="48"/>
  <c r="AC20" i="48" s="1"/>
  <c r="Q22" i="35" s="1"/>
  <c r="R24" i="55" s="1"/>
  <c r="AB20" i="48"/>
  <c r="P22" i="35" s="1"/>
  <c r="Q24" i="55" s="1"/>
  <c r="AC111" i="48"/>
  <c r="AC18" i="48" s="1"/>
  <c r="AB18" i="48"/>
  <c r="AC112"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18" i="55" l="1"/>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1" i="40" l="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s="1"/>
  <c r="C9" i="35" l="1"/>
  <c r="B19" i="6"/>
  <c r="E57" i="55"/>
  <c r="E55" i="55"/>
  <c r="R28" i="20"/>
  <c r="E5" i="35"/>
  <c r="F7" i="55" s="1"/>
  <c r="F82" i="55" s="1"/>
  <c r="E3" i="35"/>
  <c r="F5" i="55" s="1"/>
  <c r="F80" i="55" s="1"/>
  <c r="Q47" i="20"/>
  <c r="J19" i="25"/>
  <c r="K19" i="25"/>
  <c r="L19" i="25"/>
  <c r="I19" i="25"/>
  <c r="P14" i="25"/>
  <c r="P13" i="25" s="1"/>
  <c r="M19" i="25"/>
  <c r="F57" i="55" l="1"/>
  <c r="F55" i="55"/>
  <c r="S28" i="20"/>
  <c r="F5" i="35"/>
  <c r="G7" i="55" s="1"/>
  <c r="G82" i="55" s="1"/>
  <c r="F3" i="35"/>
  <c r="G5" i="55" s="1"/>
  <c r="G80" i="55" s="1"/>
  <c r="R47" i="20"/>
  <c r="D6" i="55"/>
  <c r="D81" i="55" s="1"/>
  <c r="D11" i="55"/>
  <c r="D86" i="55" s="1"/>
  <c r="Q12" i="25"/>
  <c r="Q14" i="25" s="1"/>
  <c r="Q13" i="25" s="1"/>
  <c r="D61" i="55" l="1"/>
  <c r="D56" i="55"/>
  <c r="G57" i="55"/>
  <c r="G55" i="55"/>
  <c r="N19" i="25"/>
  <c r="T28" i="20"/>
  <c r="G5" i="35"/>
  <c r="H7" i="55" s="1"/>
  <c r="H82" i="55" s="1"/>
  <c r="G3" i="35"/>
  <c r="H5" i="55" s="1"/>
  <c r="H80" i="55" s="1"/>
  <c r="S47" i="20"/>
  <c r="D4" i="35"/>
  <c r="E6" i="55" s="1"/>
  <c r="E81" i="55" s="1"/>
  <c r="P20" i="25"/>
  <c r="Q20" i="25" s="1"/>
  <c r="R12" i="25"/>
  <c r="R14" i="25" s="1"/>
  <c r="R13" i="25" s="1"/>
  <c r="D9" i="35" l="1"/>
  <c r="E11" i="55" s="1"/>
  <c r="E86" i="55" s="1"/>
  <c r="P11" i="25"/>
  <c r="P19" i="25" s="1"/>
  <c r="C8" i="35"/>
  <c r="D10" i="55" s="1"/>
  <c r="D85" i="55" s="1"/>
  <c r="E56" i="55"/>
  <c r="H57" i="55"/>
  <c r="H55" i="55"/>
  <c r="U28" i="20"/>
  <c r="H5" i="35"/>
  <c r="I7" i="55" s="1"/>
  <c r="I82" i="55" s="1"/>
  <c r="H3" i="35"/>
  <c r="I5" i="55" s="1"/>
  <c r="I80" i="55" s="1"/>
  <c r="T47" i="20"/>
  <c r="E4" i="35"/>
  <c r="F6" i="55" s="1"/>
  <c r="F81" i="55" s="1"/>
  <c r="E9" i="35"/>
  <c r="F11" i="55" s="1"/>
  <c r="F86" i="55" s="1"/>
  <c r="S12" i="25"/>
  <c r="S14" i="25" s="1"/>
  <c r="S13" i="25" s="1"/>
  <c r="E61" i="55" l="1"/>
  <c r="F61" i="55"/>
  <c r="D60" i="55"/>
  <c r="F56" i="55"/>
  <c r="I57" i="55"/>
  <c r="I55" i="55"/>
  <c r="I5" i="35"/>
  <c r="J7" i="55" s="1"/>
  <c r="J82" i="55" s="1"/>
  <c r="V28" i="20"/>
  <c r="I3" i="35"/>
  <c r="J5" i="55" s="1"/>
  <c r="J80" i="55" s="1"/>
  <c r="U47" i="20"/>
  <c r="F4" i="35"/>
  <c r="G6" i="55" s="1"/>
  <c r="G81" i="55" s="1"/>
  <c r="D8" i="35"/>
  <c r="E10" i="55" s="1"/>
  <c r="E85" i="55" s="1"/>
  <c r="R20" i="25"/>
  <c r="F9" i="35" s="1"/>
  <c r="G11" i="55" s="1"/>
  <c r="G86" i="55" s="1"/>
  <c r="Q11" i="25"/>
  <c r="Q19" i="25" s="1"/>
  <c r="T12" i="25"/>
  <c r="T14" i="25" s="1"/>
  <c r="T13" i="25" s="1"/>
  <c r="E60" i="55" l="1"/>
  <c r="G61" i="55"/>
  <c r="G56" i="55"/>
  <c r="J57" i="55"/>
  <c r="J55" i="55"/>
  <c r="W28" i="20"/>
  <c r="J5" i="35"/>
  <c r="K7" i="55" s="1"/>
  <c r="K82" i="55" s="1"/>
  <c r="J3" i="35"/>
  <c r="K5" i="55" s="1"/>
  <c r="K80" i="55" s="1"/>
  <c r="V47" i="20"/>
  <c r="E8" i="35"/>
  <c r="F10" i="55" s="1"/>
  <c r="F85" i="55" s="1"/>
  <c r="G4" i="35"/>
  <c r="H6" i="55" s="1"/>
  <c r="H81" i="55" s="1"/>
  <c r="S20" i="25"/>
  <c r="G9" i="35" s="1"/>
  <c r="H11" i="55" s="1"/>
  <c r="H86" i="55" s="1"/>
  <c r="R11" i="25"/>
  <c r="R19" i="25" s="1"/>
  <c r="U12" i="25"/>
  <c r="H61" i="55" l="1"/>
  <c r="F60" i="55"/>
  <c r="K57" i="55"/>
  <c r="H56" i="55"/>
  <c r="K55" i="55"/>
  <c r="K5" i="35"/>
  <c r="L7" i="55" s="1"/>
  <c r="L82" i="55" s="1"/>
  <c r="X28" i="20"/>
  <c r="K3" i="35"/>
  <c r="L5" i="55" s="1"/>
  <c r="L80" i="55" s="1"/>
  <c r="W47" i="20"/>
  <c r="U14" i="25"/>
  <c r="U13" i="25" s="1"/>
  <c r="V12" i="25"/>
  <c r="F8" i="35"/>
  <c r="G10" i="55" s="1"/>
  <c r="G85" i="55" s="1"/>
  <c r="H4" i="35"/>
  <c r="I6" i="55" s="1"/>
  <c r="I81" i="55" s="1"/>
  <c r="T20" i="25"/>
  <c r="H9" i="35" s="1"/>
  <c r="I11" i="55" s="1"/>
  <c r="I86" i="55" s="1"/>
  <c r="S11" i="25"/>
  <c r="S19" i="25" s="1"/>
  <c r="G19" i="55" l="1"/>
  <c r="J19" i="55"/>
  <c r="F19" i="55"/>
  <c r="I61" i="55"/>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8"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8"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8"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8" i="20"/>
  <c r="N49" i="20" s="1"/>
  <c r="O74" i="26"/>
  <c r="H2" i="50" s="1"/>
  <c r="P11" i="26"/>
  <c r="Q85" i="55" l="1"/>
  <c r="R86" i="55"/>
  <c r="R61" i="55"/>
  <c r="P85" i="55"/>
  <c r="P60" i="55"/>
  <c r="AC11" i="25"/>
  <c r="AC19" i="25" s="1"/>
  <c r="Q8" i="35" s="1"/>
  <c r="R10" i="55" s="1"/>
  <c r="P79" i="26"/>
  <c r="P74" i="26" s="1"/>
  <c r="C2" i="35"/>
  <c r="D4" i="55" s="1"/>
  <c r="D79" i="55" s="1"/>
  <c r="O48" i="20"/>
  <c r="O49" i="20" s="1"/>
  <c r="O29" i="20" s="1"/>
  <c r="N29" i="20"/>
  <c r="N30" i="20" s="1"/>
  <c r="AU62" i="20"/>
  <c r="AU61" i="20"/>
  <c r="AU63" i="20"/>
  <c r="N15" i="20"/>
  <c r="R85" i="55" l="1"/>
  <c r="R60" i="55"/>
  <c r="AV61" i="20"/>
  <c r="O30" i="20"/>
  <c r="AV63" i="20"/>
  <c r="AV62" i="20"/>
  <c r="O15" i="20"/>
  <c r="D54" i="55"/>
  <c r="Q79" i="26"/>
  <c r="Q74" i="26" s="1"/>
  <c r="D2" i="35"/>
  <c r="E4" i="55" s="1"/>
  <c r="E79" i="55" s="1"/>
  <c r="P48" i="20"/>
  <c r="P49" i="20" s="1"/>
  <c r="H12" i="30"/>
  <c r="N26" i="49" l="1"/>
  <c r="R79" i="26"/>
  <c r="R74" i="26" s="1"/>
  <c r="R11" i="26"/>
  <c r="AW63" i="20"/>
  <c r="P29" i="20"/>
  <c r="P30" i="20" s="1"/>
  <c r="AW62" i="20"/>
  <c r="AW61" i="20"/>
  <c r="P15" i="20"/>
  <c r="E54" i="55"/>
  <c r="Q48" i="20"/>
  <c r="Q49" i="20" s="1"/>
  <c r="E2" i="35"/>
  <c r="F4" i="55" s="1"/>
  <c r="F79" i="55" s="1"/>
  <c r="P12" i="49" l="1"/>
  <c r="S79" i="26"/>
  <c r="S74" i="26" s="1"/>
  <c r="S11" i="26"/>
  <c r="F54" i="55"/>
  <c r="Q29" i="20"/>
  <c r="Q30" i="20" s="1"/>
  <c r="AX63" i="20"/>
  <c r="AX62" i="20"/>
  <c r="AX61" i="20"/>
  <c r="Q15" i="20"/>
  <c r="F2" i="35"/>
  <c r="G4" i="55" s="1"/>
  <c r="G79" i="55" s="1"/>
  <c r="R48" i="20"/>
  <c r="R49" i="20" s="1"/>
  <c r="D11" i="35" l="1"/>
  <c r="E13" i="55" s="1"/>
  <c r="E88" i="55" s="1"/>
  <c r="P26" i="49"/>
  <c r="P27" i="49" s="1"/>
  <c r="AY63" i="20"/>
  <c r="AY61" i="20"/>
  <c r="AY62" i="20"/>
  <c r="R29" i="20"/>
  <c r="R30" i="20" s="1"/>
  <c r="R15" i="20"/>
  <c r="T79" i="26"/>
  <c r="T74" i="26" s="1"/>
  <c r="T11" i="26"/>
  <c r="G54" i="55"/>
  <c r="S48" i="20"/>
  <c r="S49" i="20" s="1"/>
  <c r="G2" i="35"/>
  <c r="H4" i="55" s="1"/>
  <c r="H79" i="55" s="1"/>
  <c r="Q25" i="49"/>
  <c r="Q30" i="59" s="1"/>
  <c r="P10" i="26" l="1"/>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S25" i="49" l="1"/>
  <c r="S30" i="59" s="1"/>
  <c r="R30" i="59"/>
  <c r="E62" i="55"/>
  <c r="G44" i="49"/>
  <c r="S12" i="49" s="1"/>
  <c r="S26" i="49" s="1"/>
  <c r="G11" i="35"/>
  <c r="F11" i="35"/>
  <c r="D63" i="55"/>
  <c r="V79" i="26"/>
  <c r="V74" i="26" s="1"/>
  <c r="V11" i="26"/>
  <c r="BA61" i="20"/>
  <c r="T29" i="20"/>
  <c r="T30" i="20" s="1"/>
  <c r="BA62" i="20"/>
  <c r="BA63" i="20"/>
  <c r="T15" i="20"/>
  <c r="I54" i="55"/>
  <c r="U48" i="20"/>
  <c r="U49" i="20" s="1"/>
  <c r="I2" i="35"/>
  <c r="J4" i="55" s="1"/>
  <c r="J79" i="55" s="1"/>
  <c r="D12" i="55"/>
  <c r="D87" i="55" s="1"/>
  <c r="O27" i="49"/>
  <c r="T25" i="49"/>
  <c r="T30" i="59" s="1"/>
  <c r="Q12" i="49" l="1"/>
  <c r="Q26" i="49" s="1"/>
  <c r="H11" i="35"/>
  <c r="D62" i="55"/>
  <c r="J54" i="55"/>
  <c r="W79" i="26"/>
  <c r="W74" i="26" s="1"/>
  <c r="W11" i="26"/>
  <c r="U29" i="20"/>
  <c r="U30" i="20" s="1"/>
  <c r="BB62" i="20"/>
  <c r="BB61" i="20"/>
  <c r="BB63" i="20"/>
  <c r="U15" i="20"/>
  <c r="J2" i="35"/>
  <c r="K4" i="55" s="1"/>
  <c r="K79" i="55" s="1"/>
  <c r="V48" i="20"/>
  <c r="V49" i="20" s="1"/>
  <c r="H13" i="55"/>
  <c r="H88" i="55" s="1"/>
  <c r="D20" i="55"/>
  <c r="D95" i="55" s="1"/>
  <c r="U25" i="49"/>
  <c r="U30" i="59" s="1"/>
  <c r="R12" i="49" l="1"/>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O96" i="55" l="1"/>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<sst xmlns="http://schemas.openxmlformats.org/spreadsheetml/2006/main" count="2577" uniqueCount="1260">
  <si>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</si>
  <si>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</si>
  <si>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</si>
  <si>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</si>
  <si>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</si>
  <si>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</si>
  <si>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</si>
  <si>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</si>
  <si>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</si>
  <si>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</si>
  <si>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</si>
  <si>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</si>
  <si>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</si>
  <si>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</si>
  <si>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</si>
  <si>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</si>
  <si>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</si>
  <si>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</si>
  <si>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</si>
  <si>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</si>
  <si>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</si>
  <si>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</si>
  <si>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</si>
  <si>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</si>
  <si>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</si>
  <si>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</si>
  <si>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</si>
  <si>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</si>
  <si>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</si>
  <si>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</si>
  <si>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</si>
  <si>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</si>
  <si>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</si>
  <si>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</si>
  <si>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</si>
  <si>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</si>
  <si>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</si>
  <si>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</si>
  <si>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</si>
  <si>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</si>
  <si>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</si>
  <si>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</si>
  <si>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</si>
  <si>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</si>
  <si>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</si>
  <si>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</si>
  <si>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</si>
  <si>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</si>
  <si>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</si>
  <si>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</si>
  <si>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</si>
  <si>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</si>
  <si>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</si>
  <si>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</si>
  <si>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</si>
  <si>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</si>
  <si>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</si>
  <si>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</si>
  <si>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</si>
  <si>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</si>
  <si>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</si>
  <si>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</si>
  <si>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</si>
  <si>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</si>
  <si>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</si>
  <si>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</si>
  <si>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</si>
  <si>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</si>
  <si>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</si>
  <si>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</si>
  <si>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</si>
  <si>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</si>
  <si>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</si>
  <si>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</si>
  <si>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</si>
  <si>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</si>
  <si>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</si>
  <si>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</si>
  <si>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</si>
  <si>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</si>
  <si>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</si>
  <si>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</si>
  <si>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</si>
  <si>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</si>
  <si>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</si>
  <si>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</si>
  <si>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</si>
  <si>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</si>
  <si>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</si>
  <si>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</si>
  <si>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</si>
  <si>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</si>
  <si>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</si>
  <si>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</si>
  <si>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</si>
  <si>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</si>
  <si>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</si>
  <si>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</si>
  <si>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</si>
  <si>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</si>
  <si>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</si>
  <si>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</si>
  <si>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</si>
  <si>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</si>
  <si>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</si>
  <si>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</si>
  <si>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</si>
  <si>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</si>
  <si>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</si>
  <si>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</si>
  <si>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</si>
  <si>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</si>
  <si>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</si>
  <si>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</si>
  <si>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</si>
  <si>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</si>
  <si>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</si>
  <si>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</si>
  <si>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</si>
  <si>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</si>
  <si>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</si>
  <si>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</si>
  <si>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</si>
  <si>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</si>
  <si>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</si>
  <si>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</si>
  <si>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</si>
  <si>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</si>
  <si>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</si>
  <si>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</si>
  <si>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</si>
  <si>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</si>
  <si>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</si>
  <si>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</si>
  <si>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</si>
  <si>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</si>
  <si>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</si>
  <si>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</si>
  <si>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</si>
  <si>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</si>
  <si>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</si>
  <si>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</si>
  <si>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</si>
  <si>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</si>
  <si>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</si>
  <si>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</si>
  <si>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</si>
  <si>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</si>
  <si>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</si>
  <si>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</si>
  <si>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</si>
  <si>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</si>
  <si>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</si>
  <si>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</si>
  <si>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</si>
  <si>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</si>
  <si>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</si>
  <si>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</si>
  <si>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</si>
  <si>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</si>
  <si>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</si>
  <si>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</si>
  <si>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</si>
  <si>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</si>
  <si>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</si>
  <si>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</si>
  <si>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</si>
  <si>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</si>
  <si>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</si>
  <si>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</si>
  <si>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</si>
  <si>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</si>
  <si>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</si>
  <si>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</si>
  <si>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</si>
  <si>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</si>
  <si>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</si>
  <si>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</si>
  <si>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</si>
  <si>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</si>
  <si>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</si>
  <si>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</si>
  <si>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</si>
  <si>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</si>
  <si>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</si>
  <si>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</si>
  <si>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</si>
  <si>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</si>
  <si>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</si>
  <si>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</si>
  <si>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</si>
  <si>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</si>
  <si>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</si>
  <si>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</si>
  <si>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</si>
  <si>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</si>
  <si>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</si>
  <si>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</si>
  <si>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</si>
  <si>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</si>
  <si>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</si>
  <si>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</si>
  <si>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</si>
  <si>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</si>
  <si>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</si>
  <si>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</si>
  <si>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</si>
  <si>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</si>
  <si>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</si>
  <si>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</si>
  <si>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</si>
  <si>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</si>
  <si>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</si>
  <si>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</si>
  <si>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</si>
  <si>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</si>
  <si>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</si>
  <si>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</si>
  <si>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</si>
  <si>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</si>
  <si>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</si>
  <si>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</si>
  <si>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</si>
  <si>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</si>
  <si>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</si>
  <si>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</si>
  <si>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</si>
  <si>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</si>
  <si>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</si>
  <si>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</si>
  <si>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</si>
  <si>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</si>
  <si>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</si>
  <si>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</si>
  <si>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</si>
  <si>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</si>
  <si>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</si>
  <si>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</si>
  <si>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</si>
  <si>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</si>
  <si>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</si>
  <si>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</si>
  <si>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</si>
  <si>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</si>
  <si>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</si>
  <si>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</si>
  <si>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</si>
  <si>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</si>
  <si>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</si>
  <si>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</si>
  <si>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</si>
  <si>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</si>
  <si>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</si>
  <si>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</si>
  <si>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</si>
  <si>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</si>
  <si>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</si>
  <si>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</si>
  <si>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</si>
  <si>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</si>
  <si>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</si>
  <si>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</si>
  <si>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</si>
  <si>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</si>
  <si>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</si>
  <si>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</si>
  <si>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</si>
  <si>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</si>
  <si>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</si>
  <si>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</si>
  <si>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</si>
  <si>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</si>
  <si>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</si>
  <si>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</si>
  <si>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</si>
  <si>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</si>
  <si>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</si>
  <si>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</si>
  <si>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</si>
  <si>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</si>
  <si>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</si>
  <si>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</si>
  <si>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</si>
  <si>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</si>
  <si>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</si>
  <si>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</si>
  <si>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</si>
  <si>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</si>
  <si>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</si>
  <si>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</si>
  <si>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</si>
  <si>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</si>
  <si>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</si>
  <si>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</si>
  <si>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</si>
  <si>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</si>
  <si>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</si>
  <si>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</si>
  <si>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</si>
  <si>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</si>
  <si>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</si>
  <si>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</si>
  <si>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</si>
  <si>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</si>
  <si>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</si>
  <si>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</si>
  <si>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</si>
  <si>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</si>
  <si>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</si>
  <si>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</si>
  <si>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</si>
  <si>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</si>
  <si>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</si>
  <si>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</si>
  <si>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</si>
  <si>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</si>
  <si>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</si>
  <si>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</si>
  <si>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</si>
  <si>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</si>
  <si>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</si>
  <si>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</si>
  <si>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</si>
  <si>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</si>
  <si>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</si>
  <si>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</si>
  <si>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</si>
  <si>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</si>
  <si>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</si>
  <si>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</si>
  <si>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</si>
  <si>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</si>
  <si>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</si>
  <si>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</si>
  <si>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</si>
  <si>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</si>
  <si>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</si>
  <si>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</si>
  <si>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</si>
  <si>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</si>
  <si>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</si>
  <si>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</si>
  <si>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</si>
  <si>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</si>
  <si>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</si>
  <si>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</si>
  <si>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</si>
  <si>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</si>
  <si>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</si>
  <si>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</si>
  <si>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</si>
  <si>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</si>
  <si>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</si>
  <si>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</si>
  <si>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</si>
  <si>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</si>
  <si>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</si>
  <si>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</si>
  <si>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</si>
  <si>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</si>
  <si>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</si>
  <si>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</si>
  <si>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</si>
  <si>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</si>
  <si>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</si>
  <si>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</si>
  <si>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</si>
  <si>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</si>
  <si>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</si>
  <si>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</si>
  <si>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</si>
  <si>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</si>
  <si>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</si>
  <si>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</si>
  <si>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</si>
  <si>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</si>
  <si>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</si>
  <si>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</si>
  <si>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</si>
  <si>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</si>
  <si>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</si>
  <si>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</si>
  <si>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</si>
  <si>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</si>
  <si>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</si>
  <si>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</si>
  <si>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</si>
  <si>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</si>
  <si>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</si>
  <si>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</si>
  <si>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</si>
  <si>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</si>
  <si>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</si>
  <si>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</si>
  <si>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</si>
  <si>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</si>
  <si>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</si>
  <si>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</si>
  <si>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</si>
  <si>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</si>
  <si>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</si>
  <si>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</si>
  <si>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</si>
  <si>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</si>
  <si>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</si>
  <si>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</si>
  <si>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</si>
  <si>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</si>
  <si>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</si>
  <si>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</si>
  <si>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</si>
  <si>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</si>
  <si>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</si>
  <si>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</si>
  <si>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</si>
  <si>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</si>
  <si>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</si>
  <si>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</si>
  <si>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</si>
  <si>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</si>
  <si>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</si>
  <si>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</si>
  <si>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</si>
  <si>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</si>
  <si>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</si>
  <si>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</si>
  <si>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</si>
  <si>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</si>
  <si>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</si>
  <si>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</si>
  <si>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</si>
  <si>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</si>
  <si>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</si>
  <si>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</si>
  <si>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</si>
  <si>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</si>
  <si>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</si>
  <si>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</si>
  <si>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</si>
  <si>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</si>
  <si>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</si>
  <si>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</si>
  <si>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</si>
  <si>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</si>
  <si>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</si>
  <si>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</si>
  <si>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</si>
  <si>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</si>
  <si>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</si>
  <si>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</si>
  <si>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</si>
  <si>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</si>
  <si>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</si>
  <si>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</si>
  <si>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</si>
  <si>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</si>
  <si>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</si>
  <si>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</si>
  <si>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</si>
  <si>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</si>
  <si>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</si>
  <si>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</si>
  <si>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</si>
  <si>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</si>
  <si>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</si>
  <si>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</si>
  <si>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</si>
  <si>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</si>
  <si>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</si>
  <si>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</si>
  <si>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</si>
  <si>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</si>
  <si>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</si>
  <si>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</si>
  <si>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</si>
  <si>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</si>
  <si>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</si>
  <si>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</si>
  <si>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</si>
  <si>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</si>
  <si>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</si>
  <si>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</si>
  <si>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</si>
  <si>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</si>
  <si>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</si>
  <si>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</si>
  <si>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</si>
  <si>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</si>
  <si>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</si>
  <si>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</si>
  <si>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</si>
  <si>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</si>
  <si>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</si>
  <si>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</si>
  <si>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</si>
  <si>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</si>
  <si>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</si>
  <si>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</si>
  <si>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</si>
  <si>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</si>
  <si>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</si>
  <si>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</si>
  <si>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</si>
  <si>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</si>
  <si>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</si>
  <si>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</si>
  <si>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</si>
  <si>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</si>
  <si>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</si>
  <si>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</si>
  <si>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</si>
  <si>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</si>
  <si>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</si>
  <si>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</si>
  <si>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</si>
  <si>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</si>
  <si>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</si>
  <si>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</si>
  <si>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</si>
  <si>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</si>
  <si>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</si>
  <si>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</si>
  <si>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</si>
  <si>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</si>
  <si>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</si>
  <si>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</si>
  <si>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</si>
  <si>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</si>
  <si>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</si>
  <si>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</si>
  <si>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</si>
  <si>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</si>
  <si>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</si>
  <si>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</si>
  <si>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</si>
  <si>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</si>
  <si>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</si>
  <si>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</si>
  <si>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</si>
  <si>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</si>
  <si>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</si>
  <si>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</si>
  <si>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</si>
  <si>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</si>
  <si>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</si>
  <si>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</si>
  <si>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</si>
  <si>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</si>
  <si>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</si>
  <si>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</si>
  <si>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</si>
  <si>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</si>
  <si>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</si>
  <si>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</si>
  <si>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</si>
  <si>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</si>
  <si>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</si>
  <si>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</si>
  <si>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</si>
  <si>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</si>
  <si>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</si>
  <si>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</si>
  <si>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</si>
  <si>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</si>
  <si>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</si>
  <si>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</si>
  <si>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</si>
  <si>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</si>
  <si>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</si>
  <si>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</si>
  <si>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</si>
  <si>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</si>
  <si>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</si>
  <si>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</si>
  <si>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</si>
  <si>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</si>
  <si>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</si>
  <si>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</si>
  <si>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</si>
  <si>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</si>
  <si>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</si>
  <si>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</si>
  <si>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</si>
  <si>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</si>
  <si>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</si>
  <si>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</si>
  <si>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</si>
  <si>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</si>
  <si>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</si>
  <si>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</si>
  <si>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</si>
  <si>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</si>
  <si>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</si>
  <si>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</si>
  <si>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</si>
  <si>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</si>
  <si>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</si>
  <si>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</si>
  <si>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</si>
  <si>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</si>
  <si>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</si>
  <si>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</si>
  <si>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</si>
  <si>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</si>
  <si>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</si>
  <si>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</si>
  <si>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</si>
  <si>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</si>
  <si>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</si>
  <si>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</si>
  <si>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</si>
  <si>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</si>
  <si>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</si>
  <si>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</si>
  <si>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</si>
  <si>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</si>
  <si>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</si>
  <si>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</si>
  <si>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</si>
  <si>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</si>
  <si>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</si>
  <si>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</si>
  <si>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</si>
  <si>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</si>
  <si>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</si>
  <si>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</si>
  <si>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</si>
  <si>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</si>
  <si>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</si>
  <si>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</si>
  <si>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</si>
  <si>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</si>
  <si>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</si>
  <si>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</si>
  <si>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</si>
  <si>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</si>
  <si>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</si>
  <si>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</si>
  <si>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</si>
  <si>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</si>
  <si>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</si>
  <si>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</si>
  <si>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</si>
  <si>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</si>
  <si>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</si>
  <si>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</si>
  <si>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</si>
  <si>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</si>
  <si>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</si>
  <si>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</si>
  <si>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</si>
  <si>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</si>
  <si>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</si>
  <si>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</si>
  <si>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</si>
  <si>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</si>
  <si>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</si>
  <si>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</si>
  <si>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</si>
  <si>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</si>
  <si>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</si>
  <si>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</si>
  <si>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</si>
  <si>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</si>
  <si>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</si>
  <si>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</si>
  <si>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</si>
  <si>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</si>
  <si>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</si>
  <si>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</si>
  <si>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</si>
  <si>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</si>
  <si>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</si>
  <si>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</si>
  <si>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</si>
  <si>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</si>
  <si>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</si>
  <si>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</si>
  <si>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</si>
  <si>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</si>
  <si>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</si>
  <si>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</si>
  <si>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</si>
  <si>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</si>
  <si>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</si>
  <si>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</si>
  <si>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</si>
  <si>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</si>
  <si>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</si>
  <si>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</si>
  <si>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</si>
  <si>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</si>
  <si>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</si>
  <si>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</si>
  <si>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</si>
  <si>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</si>
  <si>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</si>
  <si>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</si>
  <si>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</si>
  <si>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</si>
  <si>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</si>
  <si>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</si>
  <si>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</si>
  <si>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</si>
  <si>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</si>
  <si>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</si>
  <si>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</si>
  <si>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</si>
  <si>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</si>
  <si>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</si>
  <si>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</si>
  <si>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</si>
  <si>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</si>
  <si>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</si>
  <si>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</si>
  <si>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</si>
  <si>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</si>
  <si>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</si>
  <si>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</si>
  <si>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</si>
  <si>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</si>
  <si>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</si>
  <si>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</si>
  <si>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</si>
  <si>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</si>
  <si>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</si>
  <si>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</si>
  <si>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</si>
  <si>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</si>
  <si>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</si>
  <si>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</si>
  <si>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</si>
  <si>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</si>
  <si>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</si>
  <si>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</si>
  <si>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</si>
  <si>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</si>
  <si>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</si>
  <si>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</si>
  <si>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</si>
  <si>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</si>
  <si>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</si>
  <si>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</si>
  <si>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</si>
  <si>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</si>
  <si>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</si>
  <si>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</si>
  <si>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</si>
  <si>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</si>
  <si>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</si>
  <si>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</si>
  <si>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</si>
  <si>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</si>
  <si>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</si>
  <si>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</si>
  <si>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</si>
  <si>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</si>
  <si>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</si>
  <si>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</si>
  <si>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</si>
  <si>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</si>
  <si>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</si>
  <si>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</si>
  <si>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</si>
  <si>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</si>
  <si>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</si>
  <si>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</si>
  <si>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</si>
  <si>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</si>
  <si>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</si>
  <si>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</si>
  <si>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</si>
  <si>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</si>
  <si>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</si>
  <si>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</si>
  <si>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</si>
  <si>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</si>
  <si>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</si>
  <si>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</si>
  <si>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</si>
  <si>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</si>
  <si>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</si>
  <si>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</si>
  <si>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</si>
  <si>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</si>
  <si>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</si>
  <si>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</si>
  <si>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</si>
  <si>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</si>
  <si>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</si>
  <si>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</si>
  <si>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</si>
  <si>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</si>
  <si>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</si>
  <si>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</si>
  <si>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</si>
  <si>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</si>
  <si>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</si>
  <si>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</si>
  <si>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</si>
  <si>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</si>
  <si>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</si>
  <si>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</si>
  <si>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</si>
  <si>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</si>
  <si>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</si>
  <si>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</si>
  <si>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</si>
  <si>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</si>
  <si>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</si>
  <si>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</si>
  <si>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</si>
  <si>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</si>
  <si>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</si>
  <si>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</si>
  <si>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</si>
  <si>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</si>
  <si>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</si>
  <si>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</si>
  <si>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</si>
  <si>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</si>
  <si>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</si>
  <si>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</si>
  <si>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</si>
  <si>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</si>
  <si>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</si>
  <si>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</si>
  <si>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</si>
  <si>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</si>
  <si>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</si>
  <si>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</si>
  <si>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</si>
  <si>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</si>
  <si>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</si>
  <si>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</si>
  <si>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</si>
  <si>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</si>
  <si>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</si>
  <si>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</si>
  <si>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</si>
  <si>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</si>
  <si>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</si>
  <si>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</si>
  <si>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</si>
  <si>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</si>
  <si>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</si>
  <si>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</si>
  <si>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</si>
  <si>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</si>
  <si>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</si>
  <si>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</si>
  <si>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</si>
  <si>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</si>
  <si>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</si>
  <si>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</si>
  <si>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</si>
  <si>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</si>
  <si>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</si>
  <si>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</si>
  <si>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</si>
  <si>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</si>
  <si>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</si>
  <si>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</si>
  <si>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</si>
  <si>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</si>
  <si>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</si>
  <si>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</si>
  <si>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</si>
  <si>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</si>
  <si>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</si>
  <si>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</si>
  <si>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</si>
  <si>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</si>
  <si>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</si>
  <si>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</si>
  <si>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</si>
  <si>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</si>
  <si>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</si>
  <si>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</si>
  <si>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</si>
  <si>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</si>
  <si>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</si>
  <si>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</si>
  <si>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</si>
  <si>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</si>
  <si>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</si>
  <si>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</si>
  <si>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</si>
  <si>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</si>
  <si>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</si>
  <si>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</si>
  <si>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</si>
  <si>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</si>
  <si>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</si>
  <si>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</si>
  <si>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</si>
  <si>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</si>
  <si>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</si>
  <si>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</si>
  <si>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</si>
  <si>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</si>
  <si>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</si>
  <si>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</si>
  <si>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</si>
  <si>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</si>
  <si>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</si>
  <si>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</si>
  <si>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</si>
  <si>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</si>
  <si>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</si>
  <si>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</si>
  <si>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</si>
  <si>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</si>
  <si>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</si>
  <si>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</si>
  <si>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</si>
  <si>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</si>
  <si>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</si>
  <si>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</si>
  <si>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</si>
  <si>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</si>
  <si>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</si>
  <si>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</si>
  <si>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</si>
  <si>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</si>
  <si>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</si>
  <si>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</si>
  <si>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</si>
  <si>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</si>
  <si>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</si>
  <si>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</si>
  <si>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</si>
  <si>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</si>
  <si>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</si>
  <si>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</si>
  <si>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</si>
  <si>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</si>
  <si>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</si>
  <si>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</si>
  <si>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</si>
  <si>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</si>
  <si>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</si>
  <si>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</si>
  <si>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</si>
  <si>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</si>
  <si>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</si>
  <si>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</si>
  <si>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</si>
  <si>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</si>
  <si>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</si>
  <si>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</si>
  <si>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</si>
  <si>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</si>
  <si>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</si>
  <si>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</si>
  <si>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</si>
  <si>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</si>
  <si>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</si>
  <si>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</si>
  <si>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</si>
  <si>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</si>
  <si>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</si>
  <si>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</si>
  <si>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</si>
  <si>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</si>
  <si>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</si>
  <si>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</si>
  <si>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</si>
  <si>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</si>
  <si>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</si>
  <si>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</si>
  <si>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</si>
  <si>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</si>
  <si>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</si>
  <si>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</si>
  <si>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</si>
  <si>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</si>
  <si>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</si>
  <si>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</si>
  <si>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</si>
  <si>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</si>
  <si>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</si>
  <si>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</si>
  <si>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</si>
  <si>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</si>
  <si>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</si>
  <si>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</si>
  <si>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</si>
  <si>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</si>
  <si>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</si>
  <si>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</si>
  <si>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</si>
  <si>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</si>
  <si>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</si>
  <si>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</si>
  <si>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</si>
  <si>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</si>
  <si>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</si>
  <si>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</si>
  <si>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</si>
  <si>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</si>
  <si>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</si>
  <si>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</si>
  <si>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</si>
  <si>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</si>
  <si>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</si>
  <si>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</si>
  <si>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</si>
  <si>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</si>
  <si>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</si>
  <si>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</si>
  <si>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</si>
  <si>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</si>
  <si>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</si>
  <si>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</si>
  <si>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</si>
  <si>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</si>
  <si>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</si>
  <si>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</si>
  <si>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</si>
  <si>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</si>
  <si>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</si>
  <si>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</si>
  <si>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</si>
  <si>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</si>
  <si>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</si>
  <si>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</si>
  <si>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</si>
  <si>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</si>
  <si>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</si>
  <si>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</si>
  <si>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</si>
  <si>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</si>
  <si>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</si>
  <si>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</si>
  <si>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</si>
  <si>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</si>
  <si>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</si>
  <si>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</si>
  <si>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</si>
  <si>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</si>
  <si>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</si>
  <si>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</si>
  <si>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</si>
  <si>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</si>
  <si>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</si>
  <si>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</si>
  <si>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</si>
  <si>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</si>
  <si>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</si>
  <si>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</si>
  <si>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</si>
  <si>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</si>
  <si>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</si>
  <si>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</si>
  <si>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</si>
  <si>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</si>
  <si>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</si>
  <si>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</si>
  <si>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</si>
  <si>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</si>
  <si>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</si>
  <si>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</si>
  <si>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</si>
  <si>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</si>
  <si>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</si>
  <si>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</si>
  <si>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</si>
  <si>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</si>
  <si>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</si>
  <si>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</si>
  <si>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</si>
  <si>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</si>
  <si>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</si>
  <si>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</si>
  <si>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</si>
  <si>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</si>
  <si>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</si>
  <si>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</si>
  <si>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</si>
  <si>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</si>
  <si>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</si>
  <si>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</si>
  <si>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</si>
  <si>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</si>
  <si>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</si>
  <si>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</si>
  <si>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</si>
  <si>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</si>
  <si>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</si>
  <si>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</si>
  <si>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</si>
  <si>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</si>
  <si>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</si>
  <si>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</si>
  <si>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</si>
  <si>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</si>
  <si>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</si>
  <si>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</si>
  <si>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</si>
  <si>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</si>
  <si>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</si>
  <si>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</si>
  <si>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</si>
  <si>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</si>
  <si>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</si>
  <si>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</si>
  <si>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</si>
  <si>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</si>
  <si>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</si>
  <si>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</si>
  <si>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</si>
  <si>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</si>
  <si>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</si>
  <si>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</si>
  <si>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</si>
  <si>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</si>
  <si>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</si>
  <si>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</si>
  <si>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</si>
  <si>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</si>
  <si>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</si>
  <si>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</si>
  <si>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</si>
  <si>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</si>
  <si>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</si>
  <si>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</si>
  <si>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</si>
  <si>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</si>
  <si>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</si>
  <si>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</si>
  <si>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</si>
  <si>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</si>
  <si>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</si>
  <si>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</si>
  <si>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</si>
  <si>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</si>
  <si>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</si>
  <si>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</si>
  <si>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</si>
  <si>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</si>
  <si>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</si>
  <si>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</si>
  <si>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</si>
  <si>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</si>
  <si>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</si>
  <si>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</si>
  <si>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</si>
  <si>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</si>
  <si>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</si>
  <si>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</si>
  <si>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</si>
  <si>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</si>
  <si>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</si>
  <si>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</si>
  <si>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</si>
  <si>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</si>
  <si>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</si>
  <si>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</si>
  <si>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</si>
  <si>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</si>
  <si>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</si>
  <si>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</si>
  <si>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</si>
  <si>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</si>
  <si>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</si>
  <si>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</si>
  <si>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</si>
  <si>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</si>
  <si>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</si>
  <si>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</si>
  <si>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</si>
  <si>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</si>
  <si>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</si>
  <si>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</si>
  <si>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</si>
  <si>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</si>
  <si>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</si>
  <si>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</si>
  <si>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</si>
  <si>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</si>
  <si>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</si>
  <si>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</si>
  <si>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</si>
  <si>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</si>
  <si>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</si>
  <si>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</si>
  <si>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</si>
  <si>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</si>
  <si>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</si>
  <si>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</si>
  <si>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</si>
  <si>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</si>
  <si>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</si>
  <si>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</si>
  <si>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</si>
  <si>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</si>
  <si>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</si>
  <si>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</si>
  <si>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</si>
  <si>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</si>
  <si>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</si>
  <si>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</si>
  <si>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</si>
  <si>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</si>
  <si>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</si>
  <si>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</si>
  <si>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</si>
  <si>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</si>
  <si>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</si>
  <si>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</si>
  <si>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</si>
  <si>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</si>
  <si>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</si>
  <si>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</si>
  <si>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</si>
  <si>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</si>
  <si>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</si>
  <si>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</si>
  <si>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</si>
  <si>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</si>
  <si>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</si>
  <si>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</si>
  <si>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</si>
  <si>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</si>
  <si>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</si>
  <si>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</si>
  <si>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</si>
  <si>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</si>
  <si>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</si>
  <si>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</si>
  <si>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</si>
  <si>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</si>
  <si>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</si>
  <si>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</si>
  <si>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</si>
  <si>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</si>
  <si>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</si>
  <si>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</si>
  <si>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</si>
  <si>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</si>
  <si>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</si>
  <si>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</si>
  <si>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</si>
  <si>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</si>
  <si>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</si>
  <si>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</si>
  <si>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</si>
  <si>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</si>
  <si>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</si>
  <si>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</si>
  <si>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</si>
  <si>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</si>
  <si>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</si>
  <si>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</si>
  <si>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Q3 - 10/21</t>
  </si>
  <si>
    <t>Q3 -11/21</t>
  </si>
  <si>
    <t>Add factor for the Bipartisan Infrastructure Billl</t>
  </si>
  <si>
    <t>Add factor for the Bipartisan Infrastructure Bill</t>
  </si>
  <si>
    <t>Where does this get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</si>
</sst>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9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2127.1745474692043</c:v>
                </c:pt>
                <c:pt idx="9">
                  <c:v>2185.7659297065006</c:v>
                </c:pt>
                <c:pt idx="10">
                  <c:v>2222.4677910592582</c:v>
                </c:pt>
                <c:pt idx="11">
                  <c:v>2257.19792248148</c:v>
                </c:pt>
                <c:pt idx="12">
                  <c:v>2280.9895016645942</c:v>
                </c:pt>
                <c:pt idx="13">
                  <c:v>2302.5891228130777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80" customWidth="1"/>
    <col min="3" max="16" width="8.54296875" style="580"/>
    <col min="17" max="17" width="38.54296875" style="580" customWidth="1"/>
  </cols>
  <sheetData>
    <row r="10" spans="2:17" x14ac:dyDescent="0.35">
      <c r="B10" s="1128" t="s">
        <v>0</v>
      </c>
      <c r="C10" s="1129"/>
      <c r="D10" s="1129"/>
      <c r="E10" s="1129"/>
      <c r="F10" s="1129"/>
      <c r="G10" s="1129"/>
      <c r="H10" s="1129"/>
      <c r="I10" s="1129"/>
      <c r="J10" s="1129"/>
      <c r="K10" s="1129"/>
      <c r="L10" s="1129"/>
      <c r="M10" s="1129"/>
      <c r="N10" s="1129"/>
      <c r="O10" s="1129"/>
      <c r="P10" s="1129"/>
      <c r="Q10" s="1130"/>
    </row>
    <row r="11" spans="2:17" x14ac:dyDescent="0.35">
      <c r="B11" s="1131"/>
      <c r="C11" s="1132"/>
      <c r="D11" s="1132"/>
      <c r="E11" s="1132"/>
      <c r="F11" s="1132"/>
      <c r="G11" s="1132"/>
      <c r="H11" s="1132"/>
      <c r="I11" s="1132"/>
      <c r="J11" s="1132"/>
      <c r="K11" s="1132"/>
      <c r="L11" s="1132"/>
      <c r="M11" s="1132"/>
      <c r="N11" s="1132"/>
      <c r="O11" s="1132"/>
      <c r="P11" s="1132"/>
      <c r="Q11" s="1133"/>
    </row>
    <row r="12" spans="2:17" x14ac:dyDescent="0.35">
      <c r="B12" s="577" t="s">
        <v>1</v>
      </c>
      <c r="C12" s="879"/>
      <c r="D12" s="879"/>
      <c r="E12" s="879"/>
      <c r="F12" s="879"/>
      <c r="G12" s="879"/>
      <c r="H12" s="879"/>
      <c r="I12" s="879"/>
      <c r="J12" s="879"/>
      <c r="K12" s="879"/>
      <c r="L12" s="879"/>
      <c r="M12" s="879"/>
      <c r="N12" s="879"/>
      <c r="O12" s="879"/>
      <c r="P12" s="879"/>
      <c r="Q12" s="581"/>
    </row>
    <row r="13" spans="2:17" x14ac:dyDescent="0.35">
      <c r="B13" s="578" t="s">
        <v>2</v>
      </c>
      <c r="C13" s="1134" t="s">
        <v>3</v>
      </c>
      <c r="D13" s="1134"/>
      <c r="E13" s="1134"/>
      <c r="F13" s="1134"/>
      <c r="G13" s="1134"/>
      <c r="H13" s="1134"/>
      <c r="I13" s="1134"/>
      <c r="J13" s="1134"/>
      <c r="K13" s="1134"/>
      <c r="L13" s="1134"/>
      <c r="M13" s="1134"/>
      <c r="N13" s="1134"/>
      <c r="O13" s="1134"/>
      <c r="P13" s="1134"/>
      <c r="Q13" s="1135"/>
    </row>
    <row r="14" spans="2:17" x14ac:dyDescent="0.35">
      <c r="B14" s="578" t="s">
        <v>4</v>
      </c>
      <c r="C14" s="582" t="s">
        <v>5</v>
      </c>
      <c r="D14" s="582"/>
      <c r="E14" s="582"/>
      <c r="F14" s="582"/>
      <c r="G14" s="582"/>
      <c r="H14" s="582"/>
      <c r="I14" s="582"/>
      <c r="J14" s="582"/>
      <c r="K14" s="582"/>
      <c r="L14" s="582"/>
      <c r="M14" s="582"/>
      <c r="N14" s="582"/>
      <c r="O14" s="582"/>
      <c r="P14" s="582"/>
      <c r="Q14" s="583"/>
    </row>
    <row r="15" spans="2:17" x14ac:dyDescent="0.35">
      <c r="B15" s="578" t="s">
        <v>6</v>
      </c>
      <c r="C15" s="582" t="s">
        <v>7</v>
      </c>
      <c r="D15" s="582"/>
      <c r="E15" s="582"/>
      <c r="F15" s="582"/>
      <c r="G15" s="582"/>
      <c r="H15" s="582"/>
      <c r="I15" s="582"/>
      <c r="J15" s="582"/>
      <c r="K15" s="582"/>
      <c r="L15" s="582"/>
      <c r="M15" s="582"/>
      <c r="N15" s="582"/>
      <c r="O15" s="582"/>
      <c r="P15" s="582"/>
      <c r="Q15" s="583"/>
    </row>
    <row r="16" spans="2:17" x14ac:dyDescent="0.35">
      <c r="B16" s="578" t="s">
        <v>8</v>
      </c>
      <c r="C16" s="582" t="s">
        <v>9</v>
      </c>
      <c r="D16" s="582"/>
      <c r="E16" s="582"/>
      <c r="F16" s="582"/>
      <c r="G16" s="582"/>
      <c r="H16" s="582"/>
      <c r="I16" s="582"/>
      <c r="J16" s="582"/>
      <c r="K16" s="582"/>
      <c r="L16" s="582"/>
      <c r="M16" s="582"/>
      <c r="N16" s="582"/>
      <c r="O16" s="582"/>
      <c r="P16" s="582"/>
      <c r="Q16" s="583"/>
    </row>
    <row r="17" spans="2:17" x14ac:dyDescent="0.35">
      <c r="B17" s="578" t="s">
        <v>10</v>
      </c>
      <c r="C17" s="582" t="s">
        <v>11</v>
      </c>
      <c r="D17" s="582"/>
      <c r="E17" s="582"/>
      <c r="F17" s="582"/>
      <c r="G17" s="582"/>
      <c r="H17" s="582"/>
      <c r="I17" s="582"/>
      <c r="J17" s="582"/>
      <c r="K17" s="582"/>
      <c r="L17" s="582"/>
      <c r="M17" s="582"/>
      <c r="N17" s="582"/>
      <c r="O17" s="582"/>
      <c r="P17" s="582"/>
      <c r="Q17" s="583"/>
    </row>
    <row r="18" spans="2:17" x14ac:dyDescent="0.35">
      <c r="B18" s="578" t="s">
        <v>12</v>
      </c>
      <c r="C18" s="582" t="s">
        <v>13</v>
      </c>
      <c r="D18" s="582"/>
      <c r="E18" s="582"/>
      <c r="F18" s="582"/>
      <c r="G18" s="582"/>
      <c r="H18" s="582"/>
      <c r="I18" s="582"/>
      <c r="J18" s="582"/>
      <c r="K18" s="582"/>
      <c r="L18" s="582"/>
      <c r="M18" s="582"/>
      <c r="N18" s="582"/>
      <c r="O18" s="582"/>
      <c r="P18" s="582"/>
      <c r="Q18" s="583"/>
    </row>
    <row r="19" spans="2:17" x14ac:dyDescent="0.35">
      <c r="B19" s="578" t="s">
        <v>14</v>
      </c>
      <c r="C19" s="582" t="s">
        <v>15</v>
      </c>
      <c r="D19" s="582"/>
      <c r="E19" s="582"/>
      <c r="F19" s="582"/>
      <c r="G19" s="582"/>
      <c r="H19" s="582"/>
      <c r="I19" s="582"/>
      <c r="J19" s="582"/>
      <c r="K19" s="582"/>
      <c r="L19" s="582"/>
      <c r="M19" s="582"/>
      <c r="N19" s="582"/>
      <c r="O19" s="582"/>
      <c r="P19" s="582"/>
      <c r="Q19" s="583"/>
    </row>
    <row r="20" spans="2:17" ht="30.65" customHeight="1" x14ac:dyDescent="0.35">
      <c r="B20" s="578" t="s">
        <v>16</v>
      </c>
      <c r="C20" s="1126" t="s">
        <v>17</v>
      </c>
      <c r="D20" s="1126"/>
      <c r="E20" s="1126"/>
      <c r="F20" s="1126"/>
      <c r="G20" s="1126"/>
      <c r="H20" s="1126"/>
      <c r="I20" s="1126"/>
      <c r="J20" s="1126"/>
      <c r="K20" s="1126"/>
      <c r="L20" s="1126"/>
      <c r="M20" s="1126"/>
      <c r="N20" s="1126"/>
      <c r="O20" s="1126"/>
      <c r="P20" s="1126"/>
      <c r="Q20" s="1127"/>
    </row>
    <row r="21" spans="2:17" x14ac:dyDescent="0.35">
      <c r="B21" s="578" t="s">
        <v>18</v>
      </c>
      <c r="C21" s="582" t="s">
        <v>19</v>
      </c>
      <c r="D21" s="582"/>
      <c r="E21" s="582"/>
      <c r="F21" s="582"/>
      <c r="G21" s="582"/>
      <c r="H21" s="582"/>
      <c r="I21" s="582"/>
      <c r="J21" s="582"/>
      <c r="K21" s="582"/>
      <c r="L21" s="582"/>
      <c r="M21" s="582"/>
      <c r="N21" s="582"/>
      <c r="O21" s="582"/>
      <c r="P21" s="582"/>
      <c r="Q21" s="583"/>
    </row>
    <row r="22" spans="2:17" ht="32.15" customHeight="1" x14ac:dyDescent="0.35">
      <c r="B22" s="578" t="s">
        <v>20</v>
      </c>
      <c r="C22" s="1126" t="s">
        <v>21</v>
      </c>
      <c r="D22" s="1126"/>
      <c r="E22" s="1126"/>
      <c r="F22" s="1126"/>
      <c r="G22" s="1126"/>
      <c r="H22" s="1126"/>
      <c r="I22" s="1126"/>
      <c r="J22" s="1126"/>
      <c r="K22" s="1126"/>
      <c r="L22" s="1126"/>
      <c r="M22" s="1126"/>
      <c r="N22" s="1126"/>
      <c r="O22" s="1126"/>
      <c r="P22" s="1126"/>
      <c r="Q22" s="1127"/>
    </row>
    <row r="23" spans="2:17" ht="31" customHeight="1" x14ac:dyDescent="0.35">
      <c r="B23" s="578" t="s">
        <v>22</v>
      </c>
      <c r="C23" s="1126" t="s">
        <v>23</v>
      </c>
      <c r="D23" s="1126"/>
      <c r="E23" s="1126"/>
      <c r="F23" s="1126"/>
      <c r="G23" s="1126"/>
      <c r="H23" s="1126"/>
      <c r="I23" s="1126"/>
      <c r="J23" s="1126"/>
      <c r="K23" s="1126"/>
      <c r="L23" s="1126"/>
      <c r="M23" s="1126"/>
      <c r="N23" s="1126"/>
      <c r="O23" s="1126"/>
      <c r="P23" s="1126"/>
      <c r="Q23" s="1127"/>
    </row>
    <row r="24" spans="2:17" x14ac:dyDescent="0.35">
      <c r="B24" s="578" t="s">
        <v>24</v>
      </c>
      <c r="C24" s="582" t="s">
        <v>25</v>
      </c>
      <c r="D24" s="582"/>
      <c r="E24" s="582"/>
      <c r="F24" s="582"/>
      <c r="G24" s="582"/>
      <c r="H24" s="582"/>
      <c r="I24" s="582"/>
      <c r="J24" s="582"/>
      <c r="K24" s="582"/>
      <c r="L24" s="582"/>
      <c r="M24" s="582"/>
      <c r="N24" s="582"/>
      <c r="O24" s="582"/>
      <c r="P24" s="582"/>
      <c r="Q24" s="583"/>
    </row>
    <row r="25" spans="2:17" x14ac:dyDescent="0.35">
      <c r="B25" s="578" t="s">
        <v>26</v>
      </c>
      <c r="C25" s="582" t="s">
        <v>27</v>
      </c>
      <c r="D25" s="582"/>
      <c r="E25" s="582"/>
      <c r="F25" s="582"/>
      <c r="G25" s="582"/>
      <c r="H25" s="582"/>
      <c r="I25" s="582"/>
      <c r="J25" s="582"/>
      <c r="K25" s="582"/>
      <c r="L25" s="582"/>
      <c r="M25" s="582"/>
      <c r="N25" s="582"/>
      <c r="O25" s="582"/>
      <c r="P25" s="582"/>
      <c r="Q25" s="583"/>
    </row>
    <row r="26" spans="2:17" x14ac:dyDescent="0.35">
      <c r="B26" s="578" t="s">
        <v>28</v>
      </c>
      <c r="C26" s="582" t="s">
        <v>29</v>
      </c>
      <c r="D26" s="582"/>
      <c r="E26" s="582"/>
      <c r="F26" s="582"/>
      <c r="G26" s="582"/>
      <c r="H26" s="582"/>
      <c r="I26" s="582"/>
      <c r="J26" s="582"/>
      <c r="K26" s="582"/>
      <c r="L26" s="582"/>
      <c r="M26" s="582"/>
      <c r="N26" s="582"/>
      <c r="O26" s="582"/>
      <c r="P26" s="582"/>
      <c r="Q26" s="583"/>
    </row>
    <row r="27" spans="2:17" x14ac:dyDescent="0.35">
      <c r="B27" s="578" t="s">
        <v>30</v>
      </c>
      <c r="C27" s="582" t="s">
        <v>31</v>
      </c>
      <c r="D27" s="582"/>
      <c r="E27" s="582"/>
      <c r="F27" s="582"/>
      <c r="G27" s="582"/>
      <c r="H27" s="582"/>
      <c r="I27" s="582"/>
      <c r="J27" s="582"/>
      <c r="K27" s="582"/>
      <c r="L27" s="582"/>
      <c r="M27" s="582"/>
      <c r="N27" s="582"/>
      <c r="O27" s="582"/>
      <c r="P27" s="582"/>
      <c r="Q27" s="583"/>
    </row>
    <row r="28" spans="2:17" x14ac:dyDescent="0.35">
      <c r="B28" s="578" t="s">
        <v>32</v>
      </c>
      <c r="C28" s="582" t="s">
        <v>33</v>
      </c>
      <c r="D28" s="582"/>
      <c r="E28" s="582"/>
      <c r="F28" s="582"/>
      <c r="G28" s="582"/>
      <c r="H28" s="582"/>
      <c r="I28" s="582"/>
      <c r="J28" s="582"/>
      <c r="K28" s="582"/>
      <c r="L28" s="582"/>
      <c r="M28" s="582"/>
      <c r="N28" s="582"/>
      <c r="O28" s="582"/>
      <c r="P28" s="582"/>
      <c r="Q28" s="583"/>
    </row>
    <row r="29" spans="2:17" x14ac:dyDescent="0.35">
      <c r="B29" s="578" t="s">
        <v>34</v>
      </c>
      <c r="C29" s="582" t="s">
        <v>35</v>
      </c>
      <c r="D29" s="582"/>
      <c r="E29" s="582"/>
      <c r="F29" s="582"/>
      <c r="G29" s="582"/>
      <c r="H29" s="582"/>
      <c r="I29" s="582"/>
      <c r="J29" s="582"/>
      <c r="K29" s="582"/>
      <c r="L29" s="582"/>
      <c r="M29" s="582"/>
      <c r="N29" s="582"/>
      <c r="O29" s="582"/>
      <c r="P29" s="582"/>
      <c r="Q29" s="583"/>
    </row>
    <row r="30" spans="2:17" x14ac:dyDescent="0.35">
      <c r="B30" s="578"/>
      <c r="C30" s="582"/>
      <c r="D30" s="582"/>
      <c r="E30" s="582"/>
      <c r="F30" s="582"/>
      <c r="G30" s="582"/>
      <c r="H30" s="582"/>
      <c r="I30" s="582"/>
      <c r="J30" s="582"/>
      <c r="K30" s="582"/>
      <c r="L30" s="582"/>
      <c r="M30" s="582"/>
      <c r="N30" s="582"/>
      <c r="O30" s="582"/>
      <c r="P30" s="582"/>
      <c r="Q30" s="583"/>
    </row>
    <row r="31" spans="2:17" x14ac:dyDescent="0.35">
      <c r="B31" s="579" t="s">
        <v>36</v>
      </c>
      <c r="C31" s="582"/>
      <c r="D31" s="582"/>
      <c r="E31" s="582"/>
      <c r="F31" s="582"/>
      <c r="G31" s="582"/>
      <c r="H31" s="582"/>
      <c r="I31" s="582"/>
      <c r="J31" s="582"/>
      <c r="K31" s="582"/>
      <c r="L31" s="582"/>
      <c r="M31" s="582"/>
      <c r="N31" s="582"/>
      <c r="O31" s="582"/>
      <c r="P31" s="582"/>
      <c r="Q31" s="583"/>
    </row>
    <row r="32" spans="2:17" x14ac:dyDescent="0.35">
      <c r="B32" s="578" t="s">
        <v>37</v>
      </c>
      <c r="C32" s="582"/>
      <c r="D32" s="582"/>
      <c r="E32" s="582"/>
      <c r="F32" s="582"/>
      <c r="G32" s="582"/>
      <c r="H32" s="582"/>
      <c r="I32" s="582"/>
      <c r="J32" s="582"/>
      <c r="K32" s="582"/>
      <c r="L32" s="582"/>
      <c r="M32" s="582"/>
      <c r="N32" s="582"/>
      <c r="O32" s="582"/>
      <c r="P32" s="582"/>
      <c r="Q32" s="583"/>
    </row>
    <row r="33" spans="2:17" ht="30.65" customHeight="1" x14ac:dyDescent="0.35">
      <c r="B33" s="1125" t="s">
        <v>38</v>
      </c>
      <c r="C33" s="1126"/>
      <c r="D33" s="1126"/>
      <c r="E33" s="1126"/>
      <c r="F33" s="1126"/>
      <c r="G33" s="1126"/>
      <c r="H33" s="1126"/>
      <c r="I33" s="1126"/>
      <c r="J33" s="1126"/>
      <c r="K33" s="1126"/>
      <c r="L33" s="1126"/>
      <c r="M33" s="1126"/>
      <c r="N33" s="1126"/>
      <c r="O33" s="1126"/>
      <c r="P33" s="1126"/>
      <c r="Q33" s="1127"/>
    </row>
    <row r="34" spans="2:17" x14ac:dyDescent="0.35">
      <c r="B34" s="587" t="s">
        <v>39</v>
      </c>
      <c r="C34" s="582"/>
      <c r="D34" s="582"/>
      <c r="E34" s="582"/>
      <c r="F34" s="582"/>
      <c r="G34" s="582"/>
      <c r="H34" s="582"/>
      <c r="I34" s="582"/>
      <c r="J34" s="582"/>
      <c r="K34" s="582"/>
      <c r="L34" s="582"/>
      <c r="M34" s="582"/>
      <c r="N34" s="582"/>
      <c r="O34" s="582"/>
      <c r="P34" s="582"/>
      <c r="Q34" s="583"/>
    </row>
    <row r="35" spans="2:17" x14ac:dyDescent="0.35">
      <c r="B35" s="578" t="s">
        <v>40</v>
      </c>
      <c r="C35" s="582"/>
      <c r="D35" s="582"/>
      <c r="E35" s="582"/>
      <c r="F35" s="582"/>
      <c r="G35" s="582"/>
      <c r="H35" s="582"/>
      <c r="I35" s="582"/>
      <c r="J35" s="582"/>
      <c r="K35" s="582"/>
      <c r="L35" s="582"/>
      <c r="M35" s="582"/>
      <c r="N35" s="582"/>
      <c r="O35" s="582"/>
      <c r="P35" s="582"/>
      <c r="Q35" s="583"/>
    </row>
    <row r="36" spans="2:17" x14ac:dyDescent="0.35">
      <c r="B36" s="578" t="s">
        <v>41</v>
      </c>
      <c r="C36" s="582"/>
      <c r="D36" s="582"/>
      <c r="E36" s="582"/>
      <c r="F36" s="582"/>
      <c r="G36" s="582"/>
      <c r="H36" s="582"/>
      <c r="I36" s="582"/>
      <c r="J36" s="582"/>
      <c r="K36" s="582"/>
      <c r="L36" s="582"/>
      <c r="M36" s="582"/>
      <c r="N36" s="582"/>
      <c r="O36" s="582"/>
      <c r="P36" s="582"/>
      <c r="Q36" s="583"/>
    </row>
    <row r="37" spans="2:17" x14ac:dyDescent="0.35">
      <c r="B37" s="586" t="s">
        <v>42</v>
      </c>
      <c r="C37" s="584"/>
      <c r="D37" s="584"/>
      <c r="E37" s="584"/>
      <c r="F37" s="584"/>
      <c r="G37" s="584"/>
      <c r="H37" s="584"/>
      <c r="I37" s="584"/>
      <c r="J37" s="584"/>
      <c r="K37" s="584"/>
      <c r="L37" s="584"/>
      <c r="M37" s="584"/>
      <c r="N37" s="584"/>
      <c r="O37" s="584"/>
      <c r="P37" s="584"/>
      <c r="Q37" s="585"/>
    </row>
    <row r="40" spans="2:17" x14ac:dyDescent="0.35">
      <c r="B40" s="588"/>
      <c r="C40" s="588"/>
      <c r="D40" s="588"/>
      <c r="E40" s="588"/>
      <c r="F40" s="588"/>
      <c r="G40" s="588"/>
      <c r="H40" s="588"/>
      <c r="I40" s="588"/>
      <c r="J40" s="588"/>
      <c r="K40" s="588"/>
      <c r="L40" s="588"/>
      <c r="M40" s="588"/>
      <c r="N40" s="588"/>
      <c r="O40" s="588"/>
      <c r="P40" s="588"/>
      <c r="Q40" s="588"/>
    </row>
    <row r="41" spans="2:17" x14ac:dyDescent="0.35">
      <c r="B41" s="588"/>
      <c r="C41" s="588"/>
      <c r="D41" s="588"/>
      <c r="E41" s="588"/>
      <c r="F41" s="588"/>
      <c r="G41" s="588"/>
      <c r="H41" s="588"/>
      <c r="I41" s="588"/>
      <c r="J41" s="588"/>
      <c r="K41" s="588"/>
      <c r="L41" s="588"/>
      <c r="M41" s="588"/>
      <c r="N41" s="588"/>
      <c r="O41" s="588"/>
      <c r="P41" s="588"/>
      <c r="Q41" s="588"/>
    </row>
    <row r="42" spans="2:17" x14ac:dyDescent="0.35">
      <c r="B42" s="588"/>
      <c r="C42" s="588"/>
      <c r="D42" s="588"/>
      <c r="E42" s="588"/>
      <c r="F42" s="588"/>
      <c r="G42" s="588"/>
      <c r="H42" s="588"/>
      <c r="I42" s="588"/>
      <c r="J42" s="588"/>
      <c r="K42" s="588"/>
      <c r="L42" s="588"/>
      <c r="M42" s="588"/>
      <c r="N42" s="588"/>
      <c r="O42" s="588"/>
      <c r="P42" s="588"/>
      <c r="Q42" s="588"/>
    </row>
    <row r="43" spans="2:17" x14ac:dyDescent="0.35">
      <c r="B43" s="588"/>
      <c r="C43" s="588"/>
      <c r="D43" s="588"/>
      <c r="E43" s="588"/>
      <c r="F43" s="588"/>
      <c r="G43" s="588"/>
      <c r="H43" s="588"/>
      <c r="I43" s="588"/>
      <c r="J43" s="588"/>
      <c r="K43" s="588"/>
      <c r="L43" s="588"/>
      <c r="M43" s="588"/>
      <c r="N43" s="588"/>
      <c r="O43" s="588"/>
      <c r="P43" s="588"/>
      <c r="Q43" s="588"/>
    </row>
    <row r="44" spans="2:17" x14ac:dyDescent="0.35">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10"/>
  <sheetViews>
    <sheetView workbookViewId="0">
      <selection activeCell="K4" sqref="K4"/>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5" t="s">
        <v>1225</v>
      </c>
      <c r="B3" t="s">
        <v>1222</v>
      </c>
      <c r="C3">
        <f>'Social Benefits'!J27</f>
        <v>1666.7</v>
      </c>
      <c r="D3">
        <f>'Social Benefits'!K27</f>
        <v>1800.7000000000003</v>
      </c>
      <c r="E3">
        <f>'Social Benefits'!L27</f>
        <v>1678.6999999999996</v>
      </c>
      <c r="F3">
        <f>'Social Benefits'!M27</f>
        <v>1714.1999999999998</v>
      </c>
      <c r="G3">
        <f>'Social Benefits'!N27</f>
        <v>1725.9781600000003</v>
      </c>
      <c r="H3">
        <f>'Social Benefits'!O27</f>
        <v>1917.9298399999998</v>
      </c>
    </row>
    <row r="4" spans="1:8" ht="43.5" x14ac:dyDescent="0.35">
      <c r="A4" s="945" t="s">
        <v>1227</v>
      </c>
      <c r="B4" t="s">
        <v>1223</v>
      </c>
      <c r="C4">
        <f>'Social Benefits'!J17</f>
        <v>0</v>
      </c>
      <c r="D4">
        <f>'Social Benefits'!K17</f>
        <v>0</v>
      </c>
      <c r="E4">
        <f>'Social Benefits'!L17</f>
        <v>0</v>
      </c>
      <c r="F4">
        <f>'Social Benefits'!M17</f>
        <v>0</v>
      </c>
      <c r="G4">
        <f>'Social Benefits'!N17</f>
        <v>33.921840000000024</v>
      </c>
      <c r="H4">
        <f>'Social Benefits'!O17</f>
        <v>44.966160000000031</v>
      </c>
    </row>
    <row r="5" spans="1:8" ht="29" x14ac:dyDescent="0.35">
      <c r="A5" s="945" t="s">
        <v>1226</v>
      </c>
      <c r="B5" t="s">
        <v>1224</v>
      </c>
      <c r="C5">
        <f>'Social Benefits'!J24</f>
        <v>160.9</v>
      </c>
      <c r="D5">
        <f>'Social Benefits'!K24</f>
        <v>58.4</v>
      </c>
      <c r="E5">
        <f>'Social Benefits'!L24</f>
        <v>34.5</v>
      </c>
      <c r="F5">
        <f>'Social Benefits'!M24</f>
        <v>42.8</v>
      </c>
      <c r="G5">
        <f>'Social Benefits'!N24</f>
        <v>26.6</v>
      </c>
      <c r="H5">
        <f>'Social Benefits'!O24</f>
        <v>40.50400000000004</v>
      </c>
    </row>
    <row r="7" spans="1:8" x14ac:dyDescent="0.35">
      <c r="C7" s="1124"/>
      <c r="D7" s="1124"/>
      <c r="E7" s="1124"/>
      <c r="F7" s="1124"/>
      <c r="G7" s="1124"/>
      <c r="H7" s="1124"/>
    </row>
    <row r="8" spans="1:8" x14ac:dyDescent="0.35">
      <c r="C8" s="1124"/>
      <c r="D8" s="1124"/>
      <c r="E8" s="1124"/>
      <c r="F8" s="1124"/>
      <c r="G8" s="1124"/>
      <c r="H8" s="1124"/>
    </row>
    <row r="9" spans="1:8" x14ac:dyDescent="0.35">
      <c r="C9" s="1124"/>
      <c r="D9" s="1124"/>
      <c r="E9" s="1124"/>
      <c r="F9" s="1124"/>
      <c r="G9" s="1124"/>
      <c r="H9" s="1124"/>
    </row>
    <row r="10" spans="1:8" x14ac:dyDescent="0.35">
      <c r="C10" s="1124"/>
      <c r="D10" s="1124"/>
      <c r="E10" s="1124"/>
      <c r="F10" s="1124"/>
      <c r="G10" s="1124"/>
      <c r="H10" s="112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51" t="s">
        <v>375</v>
      </c>
      <c r="B1" s="1151"/>
      <c r="C1" s="1151"/>
      <c r="D1" s="1151"/>
      <c r="E1" s="1151"/>
      <c r="F1" s="1151"/>
      <c r="G1" s="1151"/>
      <c r="H1" s="1151"/>
      <c r="I1" s="1151"/>
      <c r="J1" s="1151"/>
      <c r="K1" s="1151"/>
      <c r="L1" s="1151"/>
      <c r="M1" s="1151"/>
      <c r="N1" s="1151"/>
      <c r="O1" s="1151"/>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5.5" x14ac:dyDescent="0.35">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5.5" x14ac:dyDescent="0.35">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5.5" x14ac:dyDescent="0.35">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5.5" x14ac:dyDescent="0.35">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5.5" x14ac:dyDescent="0.35">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5.5" x14ac:dyDescent="0.35">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5.5" x14ac:dyDescent="0.35">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5.5" x14ac:dyDescent="0.35">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1" x14ac:dyDescent="0.35">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1" x14ac:dyDescent="0.35">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46.5" x14ac:dyDescent="0.35">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52" t="s">
        <v>74</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0" ht="14.15" customHeight="1" x14ac:dyDescent="0.3">
      <c r="B2" s="1153" t="s">
        <v>399</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30" x14ac:dyDescent="0.3">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30" x14ac:dyDescent="0.3">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30" x14ac:dyDescent="0.3">
      <c r="B5" s="1153"/>
      <c r="C5" s="1153"/>
      <c r="D5" s="1153"/>
      <c r="E5" s="1153"/>
      <c r="F5" s="1153"/>
      <c r="G5" s="1153"/>
      <c r="H5" s="1153"/>
      <c r="I5" s="1153"/>
      <c r="J5" s="1153"/>
      <c r="K5" s="1153"/>
      <c r="L5" s="1153"/>
      <c r="M5" s="1153"/>
      <c r="N5" s="1153"/>
      <c r="O5" s="1153"/>
      <c r="P5" s="1153"/>
      <c r="Q5" s="1153"/>
      <c r="R5" s="1153"/>
      <c r="S5" s="1153"/>
      <c r="T5" s="1153"/>
      <c r="U5" s="1153"/>
      <c r="V5" s="1153"/>
      <c r="W5" s="1153"/>
      <c r="X5" s="1153"/>
      <c r="Y5" s="1153"/>
      <c r="Z5" s="1153"/>
      <c r="AA5" s="1153"/>
      <c r="AB5" s="1153"/>
      <c r="AC5" s="1153"/>
    </row>
    <row r="6" spans="2:30" ht="38.5" customHeight="1" x14ac:dyDescent="0.3">
      <c r="B6" s="1153"/>
      <c r="C6" s="1153"/>
      <c r="D6" s="1153"/>
      <c r="E6" s="1153"/>
      <c r="F6" s="1153"/>
      <c r="G6" s="1153"/>
      <c r="H6" s="1153"/>
      <c r="I6" s="1153"/>
      <c r="J6" s="1153"/>
      <c r="K6" s="1153"/>
      <c r="L6" s="1153"/>
      <c r="M6" s="1153"/>
      <c r="N6" s="1153"/>
      <c r="O6" s="1153"/>
      <c r="P6" s="1153"/>
      <c r="Q6" s="1153"/>
      <c r="R6" s="1153"/>
      <c r="S6" s="1153"/>
      <c r="T6" s="1153"/>
      <c r="U6" s="1153"/>
      <c r="V6" s="1153"/>
      <c r="W6" s="1153"/>
      <c r="X6" s="1153"/>
      <c r="Y6" s="1153"/>
      <c r="Z6" s="1153"/>
      <c r="AA6" s="1153"/>
      <c r="AB6" s="1153"/>
      <c r="AC6" s="1153"/>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57" t="s">
        <v>400</v>
      </c>
      <c r="C8" s="1158"/>
      <c r="D8" s="1164" t="s">
        <v>401</v>
      </c>
      <c r="E8" s="1165"/>
      <c r="F8" s="1165"/>
      <c r="G8" s="1165"/>
      <c r="H8" s="1165"/>
      <c r="I8" s="1165"/>
      <c r="J8" s="1165"/>
      <c r="K8" s="1165"/>
      <c r="L8" s="1165"/>
      <c r="M8" s="1165"/>
      <c r="N8" s="1165"/>
      <c r="O8" s="1166"/>
      <c r="P8" s="1167" t="s">
        <v>402</v>
      </c>
      <c r="Q8" s="1168"/>
      <c r="R8" s="1168"/>
      <c r="S8" s="1168"/>
      <c r="T8" s="1168"/>
      <c r="U8" s="1168"/>
      <c r="V8" s="1168"/>
      <c r="W8" s="1168"/>
      <c r="X8" s="1168"/>
      <c r="Y8" s="1168"/>
      <c r="Z8" s="1168"/>
      <c r="AA8" s="1168"/>
      <c r="AB8" s="1168"/>
      <c r="AC8" s="1169"/>
    </row>
    <row r="9" spans="2:30" ht="12.65" customHeight="1" x14ac:dyDescent="0.3">
      <c r="B9" s="1159"/>
      <c r="C9" s="1160"/>
      <c r="D9" s="513">
        <v>2018</v>
      </c>
      <c r="E9" s="1154">
        <v>2019</v>
      </c>
      <c r="F9" s="1155"/>
      <c r="G9" s="1155"/>
      <c r="H9" s="1156"/>
      <c r="I9" s="1155">
        <v>2020</v>
      </c>
      <c r="J9" s="1155"/>
      <c r="K9" s="1155"/>
      <c r="L9" s="1155"/>
      <c r="M9" s="1154">
        <v>2021</v>
      </c>
      <c r="N9" s="1155"/>
      <c r="O9" s="1156"/>
      <c r="P9" s="818"/>
      <c r="Q9" s="1161">
        <v>2022</v>
      </c>
      <c r="R9" s="1162"/>
      <c r="S9" s="1162"/>
      <c r="T9" s="1162"/>
      <c r="U9" s="1161">
        <v>2023</v>
      </c>
      <c r="V9" s="1162"/>
      <c r="W9" s="1162"/>
      <c r="X9" s="1163"/>
      <c r="Y9" s="1161">
        <v>2024</v>
      </c>
      <c r="Z9" s="1162"/>
      <c r="AA9" s="1162"/>
      <c r="AB9" s="1162"/>
      <c r="AC9" s="322">
        <v>2025</v>
      </c>
    </row>
    <row r="10" spans="2:30" ht="14.5" customHeight="1" x14ac:dyDescent="0.3">
      <c r="B10" s="1159"/>
      <c r="C10" s="1160"/>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x14ac:dyDescent="0.3">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272.60000000000002</v>
      </c>
      <c r="P11" s="881">
        <f>P12+P13+P20</f>
        <v>32.412642857142878</v>
      </c>
      <c r="Q11" s="881">
        <f t="shared" ref="Q11:AC11" si="0">Q12+Q13+Q20</f>
        <v>28.861246753246771</v>
      </c>
      <c r="R11" s="881">
        <f t="shared" si="0"/>
        <v>26.856993506493524</v>
      </c>
      <c r="S11" s="881">
        <f t="shared" si="0"/>
        <v>25.893545454545471</v>
      </c>
      <c r="T11" s="881">
        <f t="shared" si="0"/>
        <v>25.57708441558443</v>
      </c>
      <c r="U11" s="881">
        <f t="shared" si="0"/>
        <v>25.752896103896116</v>
      </c>
      <c r="V11" s="881">
        <f t="shared" si="0"/>
        <v>26.1467142857143</v>
      </c>
      <c r="W11" s="881">
        <f t="shared" si="0"/>
        <v>26.547564935064948</v>
      </c>
      <c r="X11" s="881">
        <f t="shared" si="0"/>
        <v>26.969512987013001</v>
      </c>
      <c r="Y11" s="881">
        <f t="shared" si="0"/>
        <v>27.496948051948067</v>
      </c>
      <c r="Z11" s="881">
        <f t="shared" si="0"/>
        <v>27.932961038961054</v>
      </c>
      <c r="AA11" s="881">
        <f t="shared" si="0"/>
        <v>28.277551948051961</v>
      </c>
      <c r="AB11" s="881">
        <f t="shared" si="0"/>
        <v>28.706532467532483</v>
      </c>
      <c r="AC11" s="606">
        <f t="shared" si="0"/>
        <v>29.121448051948068</v>
      </c>
      <c r="AD11" s="34" t="s">
        <v>407</v>
      </c>
    </row>
    <row r="12" spans="2:30" x14ac:dyDescent="0.3">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x14ac:dyDescent="0.3">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230.7</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x14ac:dyDescent="0.3">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5.8</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x14ac:dyDescent="0.3">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61.6</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x14ac:dyDescent="0.3">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50.1</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x14ac:dyDescent="0.3">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4.5" x14ac:dyDescent="0.3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4.5" x14ac:dyDescent="0.3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36.100000000000023</v>
      </c>
      <c r="P20" s="376">
        <f t="shared" ref="P20:AC20" si="13">O20*P22/O22</f>
        <v>32.412642857142878</v>
      </c>
      <c r="Q20" s="376">
        <f>P20*Q22/P22</f>
        <v>28.861246753246771</v>
      </c>
      <c r="R20" s="376">
        <f t="shared" si="13"/>
        <v>26.856993506493524</v>
      </c>
      <c r="S20" s="376">
        <f t="shared" si="13"/>
        <v>25.893545454545471</v>
      </c>
      <c r="T20" s="376">
        <f t="shared" si="13"/>
        <v>25.57708441558443</v>
      </c>
      <c r="U20" s="376">
        <f t="shared" si="13"/>
        <v>25.752896103896116</v>
      </c>
      <c r="V20" s="376">
        <f t="shared" si="13"/>
        <v>26.1467142857143</v>
      </c>
      <c r="W20" s="376">
        <f t="shared" si="13"/>
        <v>26.547564935064948</v>
      </c>
      <c r="X20" s="376">
        <f t="shared" si="13"/>
        <v>26.969512987013001</v>
      </c>
      <c r="Y20" s="376">
        <f t="shared" si="13"/>
        <v>27.496948051948067</v>
      </c>
      <c r="Z20" s="376">
        <f t="shared" si="13"/>
        <v>27.932961038961054</v>
      </c>
      <c r="AA20" s="376">
        <f t="shared" si="13"/>
        <v>28.277551948051961</v>
      </c>
      <c r="AB20" s="376">
        <f t="shared" si="13"/>
        <v>28.706532467532483</v>
      </c>
      <c r="AC20" s="377">
        <f t="shared" si="13"/>
        <v>29.121448051948068</v>
      </c>
      <c r="AD20" s="34" t="s">
        <v>421</v>
      </c>
    </row>
    <row r="21" spans="2:30" x14ac:dyDescent="0.3">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x14ac:dyDescent="0.3">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65" customHeight="1" x14ac:dyDescent="0.3">
      <c r="B26" s="885" t="s">
        <v>424</v>
      </c>
      <c r="C26" s="792" t="s">
        <v>425</v>
      </c>
      <c r="D26" s="886" t="s">
        <v>426</v>
      </c>
    </row>
    <row r="27" spans="2:30" x14ac:dyDescent="0.3">
      <c r="B27" s="819">
        <v>44197</v>
      </c>
      <c r="C27" s="226">
        <v>6.3</v>
      </c>
      <c r="D27" s="820">
        <f>AVERAGE(C27:C29)</f>
        <v>6.166666666666667</v>
      </c>
    </row>
    <row r="28" spans="2:30" x14ac:dyDescent="0.3">
      <c r="B28" s="791">
        <v>44228</v>
      </c>
      <c r="C28" s="34">
        <v>6.2</v>
      </c>
      <c r="D28" s="40"/>
    </row>
    <row r="29" spans="2:30" x14ac:dyDescent="0.3">
      <c r="B29" s="791">
        <v>44256</v>
      </c>
      <c r="C29" s="34">
        <v>6</v>
      </c>
      <c r="D29" s="40"/>
    </row>
    <row r="30" spans="2:30" x14ac:dyDescent="0.3">
      <c r="B30" s="791">
        <v>44287</v>
      </c>
      <c r="C30" s="34">
        <v>6.1</v>
      </c>
      <c r="D30" s="40">
        <f>AVERAGE(C30:C32)</f>
        <v>5.7666666666666657</v>
      </c>
    </row>
    <row r="31" spans="2:30" x14ac:dyDescent="0.3">
      <c r="B31" s="791">
        <v>44317</v>
      </c>
      <c r="C31" s="34">
        <v>5.8</v>
      </c>
      <c r="D31" s="40"/>
    </row>
    <row r="32" spans="2:30" x14ac:dyDescent="0.3">
      <c r="B32" s="791">
        <v>44348</v>
      </c>
      <c r="C32" s="34">
        <v>5.4</v>
      </c>
      <c r="D32" s="40"/>
    </row>
    <row r="33" spans="2:5" x14ac:dyDescent="0.3">
      <c r="B33" s="791">
        <v>44378</v>
      </c>
      <c r="C33" s="34">
        <v>5.4</v>
      </c>
      <c r="D33" s="40">
        <f t="shared" ref="D33" si="14">AVERAGE(C33:C35)</f>
        <v>5.1333333333333337</v>
      </c>
      <c r="E33" s="34" t="s">
        <v>427</v>
      </c>
    </row>
    <row r="34" spans="2:5" x14ac:dyDescent="0.3">
      <c r="B34" s="791">
        <v>44409</v>
      </c>
      <c r="C34" s="34">
        <v>5.2</v>
      </c>
      <c r="D34" s="40"/>
    </row>
    <row r="35" spans="2:5" x14ac:dyDescent="0.3">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52" t="s">
        <v>441</v>
      </c>
      <c r="I1" s="1152"/>
      <c r="J1" s="1152"/>
      <c r="K1" s="1152"/>
      <c r="L1" s="1152"/>
      <c r="M1" s="1152"/>
      <c r="N1" s="1152"/>
      <c r="O1" s="1152"/>
      <c r="P1" s="1152"/>
      <c r="Q1" s="1152"/>
      <c r="R1" s="1152"/>
      <c r="S1" s="1152"/>
    </row>
    <row r="2" spans="8:22" x14ac:dyDescent="0.3">
      <c r="H2" s="1171" t="s">
        <v>442</v>
      </c>
      <c r="I2" s="1172"/>
      <c r="J2" s="1172"/>
      <c r="K2" s="1172"/>
      <c r="L2" s="1172"/>
      <c r="M2" s="1172"/>
      <c r="N2" s="1172"/>
      <c r="O2" s="1172"/>
      <c r="P2" s="1172"/>
      <c r="Q2" s="1172"/>
      <c r="R2" s="1172"/>
      <c r="S2" s="1172"/>
    </row>
    <row r="3" spans="8:22" x14ac:dyDescent="0.3">
      <c r="H3" s="1172"/>
      <c r="I3" s="1172"/>
      <c r="J3" s="1172"/>
      <c r="K3" s="1172"/>
      <c r="L3" s="1172"/>
      <c r="M3" s="1172"/>
      <c r="N3" s="1172"/>
      <c r="O3" s="1172"/>
      <c r="P3" s="1172"/>
      <c r="Q3" s="1172"/>
      <c r="R3" s="1172"/>
      <c r="S3" s="1172"/>
    </row>
    <row r="4" spans="8:22" x14ac:dyDescent="0.3">
      <c r="H4" s="1172"/>
      <c r="I4" s="1172"/>
      <c r="J4" s="1172"/>
      <c r="K4" s="1172"/>
      <c r="L4" s="1172"/>
      <c r="M4" s="1172"/>
      <c r="N4" s="1172"/>
      <c r="O4" s="1172"/>
      <c r="P4" s="1172"/>
      <c r="Q4" s="1172"/>
      <c r="R4" s="1172"/>
      <c r="S4" s="1172"/>
    </row>
    <row r="5" spans="8:22" ht="54.65" customHeight="1" x14ac:dyDescent="0.3">
      <c r="H5" s="1172"/>
      <c r="I5" s="1172"/>
      <c r="J5" s="1172"/>
      <c r="K5" s="1172"/>
      <c r="L5" s="1172"/>
      <c r="M5" s="1172"/>
      <c r="N5" s="1172"/>
      <c r="O5" s="1172"/>
      <c r="P5" s="1172"/>
      <c r="Q5" s="1172"/>
      <c r="R5" s="1172"/>
      <c r="S5" s="1172"/>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65" customHeight="1" x14ac:dyDescent="0.3">
      <c r="L9" s="1154">
        <v>2020</v>
      </c>
      <c r="M9" s="1155"/>
      <c r="N9" s="1155"/>
      <c r="O9" s="825">
        <v>2021</v>
      </c>
      <c r="P9" s="825"/>
      <c r="Q9" s="825"/>
      <c r="R9" s="818"/>
    </row>
    <row r="10" spans="8:22" s="39" customFormat="1" ht="28" x14ac:dyDescent="0.3">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x14ac:dyDescent="0.3">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73" t="s">
        <v>450</v>
      </c>
      <c r="I50" s="1174"/>
      <c r="J50" s="1164" t="s">
        <v>401</v>
      </c>
      <c r="K50" s="1165"/>
      <c r="L50" s="1165"/>
      <c r="M50" s="1165"/>
      <c r="N50" s="1165"/>
      <c r="O50" s="1165"/>
      <c r="P50" s="829"/>
      <c r="Q50" s="51"/>
      <c r="R50" s="51"/>
      <c r="S50" s="51"/>
      <c r="T50" s="51"/>
      <c r="U50" s="51"/>
      <c r="V50" s="51"/>
      <c r="W50" s="51"/>
      <c r="X50" s="51"/>
      <c r="Y50" s="51"/>
    </row>
    <row r="51" spans="8:25" x14ac:dyDescent="0.3">
      <c r="H51" s="1175"/>
      <c r="I51" s="1176"/>
      <c r="J51" s="1154">
        <v>2020</v>
      </c>
      <c r="K51" s="1155"/>
      <c r="L51" s="1155"/>
      <c r="M51" s="1154">
        <v>2021</v>
      </c>
      <c r="N51" s="1155"/>
      <c r="O51" s="1155"/>
      <c r="P51" s="830"/>
      <c r="Q51" s="1170"/>
      <c r="R51" s="1170"/>
      <c r="S51" s="1170"/>
      <c r="T51" s="1170"/>
      <c r="U51" s="1170"/>
      <c r="V51" s="1170"/>
      <c r="W51" s="1170"/>
      <c r="X51" s="1170"/>
    </row>
    <row r="52" spans="8:25" x14ac:dyDescent="0.3">
      <c r="H52" s="1177"/>
      <c r="I52" s="1178"/>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6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x14ac:dyDescent="0.3">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36" t="s">
        <v>195</v>
      </c>
      <c r="C1" s="1136"/>
      <c r="D1" s="1136"/>
      <c r="E1" s="1136"/>
      <c r="F1" s="1136"/>
      <c r="G1" s="1136"/>
      <c r="H1" s="1136"/>
      <c r="I1" s="1136"/>
      <c r="J1" s="1136"/>
      <c r="K1" s="1136"/>
      <c r="L1" s="1136"/>
      <c r="M1" s="1136"/>
      <c r="N1" s="1136"/>
      <c r="O1" s="1136"/>
      <c r="P1" s="1136"/>
      <c r="Q1" s="1136"/>
      <c r="R1" s="1136"/>
      <c r="S1" s="1136"/>
      <c r="T1" s="1136"/>
    </row>
    <row r="2" spans="1:22" x14ac:dyDescent="0.35">
      <c r="B2" s="1179" t="s">
        <v>428</v>
      </c>
      <c r="C2" s="1179"/>
      <c r="D2" s="1179"/>
      <c r="E2" s="1179"/>
      <c r="F2" s="1179"/>
      <c r="G2" s="1179"/>
      <c r="H2" s="1179"/>
      <c r="I2" s="1179"/>
      <c r="J2" s="1179"/>
      <c r="K2" s="1179"/>
      <c r="L2" s="1179"/>
      <c r="M2" s="1179"/>
      <c r="N2" s="1179"/>
      <c r="O2" s="1179"/>
      <c r="P2" s="1179"/>
      <c r="Q2" s="1179"/>
      <c r="R2" s="1179"/>
      <c r="S2" s="1179"/>
      <c r="T2" s="1179"/>
    </row>
    <row r="3" spans="1:22" x14ac:dyDescent="0.35">
      <c r="B3" s="1179"/>
      <c r="C3" s="1179"/>
      <c r="D3" s="1179"/>
      <c r="E3" s="1179"/>
      <c r="F3" s="1179"/>
      <c r="G3" s="1179"/>
      <c r="H3" s="1179"/>
      <c r="I3" s="1179"/>
      <c r="J3" s="1179"/>
      <c r="K3" s="1179"/>
      <c r="L3" s="1179"/>
      <c r="M3" s="1179"/>
      <c r="N3" s="1179"/>
      <c r="O3" s="1179"/>
      <c r="P3" s="1179"/>
      <c r="Q3" s="1179"/>
      <c r="R3" s="1179"/>
      <c r="S3" s="1179"/>
      <c r="T3" s="1179"/>
    </row>
    <row r="4" spans="1:22" x14ac:dyDescent="0.35">
      <c r="B4" s="1179"/>
      <c r="C4" s="1179"/>
      <c r="D4" s="1179"/>
      <c r="E4" s="1179"/>
      <c r="F4" s="1179"/>
      <c r="G4" s="1179"/>
      <c r="H4" s="1179"/>
      <c r="I4" s="1179"/>
      <c r="J4" s="1179"/>
      <c r="K4" s="1179"/>
      <c r="L4" s="1179"/>
      <c r="M4" s="1179"/>
      <c r="N4" s="1179"/>
      <c r="O4" s="1179"/>
      <c r="P4" s="1179"/>
      <c r="Q4" s="1179"/>
      <c r="R4" s="1179"/>
      <c r="S4" s="1179"/>
      <c r="T4" s="1179"/>
    </row>
    <row r="5" spans="1:22" x14ac:dyDescent="0.35">
      <c r="B5" s="1179"/>
      <c r="C5" s="1179"/>
      <c r="D5" s="1179"/>
      <c r="E5" s="1179"/>
      <c r="F5" s="1179"/>
      <c r="G5" s="1179"/>
      <c r="H5" s="1179"/>
      <c r="I5" s="1179"/>
      <c r="J5" s="1179"/>
      <c r="K5" s="1179"/>
      <c r="L5" s="1179"/>
      <c r="M5" s="1179"/>
      <c r="N5" s="1179"/>
      <c r="O5" s="1179"/>
      <c r="P5" s="1179"/>
      <c r="Q5" s="1179"/>
      <c r="R5" s="1179"/>
      <c r="S5" s="1179"/>
      <c r="T5" s="1179"/>
    </row>
    <row r="6" spans="1:22" x14ac:dyDescent="0.35">
      <c r="B6" s="1179"/>
      <c r="C6" s="1179"/>
      <c r="D6" s="1179"/>
      <c r="E6" s="1179"/>
      <c r="F6" s="1179"/>
      <c r="G6" s="1179"/>
      <c r="H6" s="1179"/>
      <c r="I6" s="1179"/>
      <c r="J6" s="1179"/>
      <c r="K6" s="1179"/>
      <c r="L6" s="1179"/>
      <c r="M6" s="1179"/>
      <c r="N6" s="1179"/>
      <c r="O6" s="1179"/>
      <c r="P6" s="1179"/>
      <c r="Q6" s="1179"/>
      <c r="R6" s="1179"/>
      <c r="S6" s="1179"/>
      <c r="T6" s="1179"/>
    </row>
    <row r="7" spans="1:22" x14ac:dyDescent="0.35">
      <c r="J7" s="210"/>
      <c r="K7" s="210"/>
      <c r="M7" s="210"/>
    </row>
    <row r="9" spans="1:22" ht="14.5" customHeight="1" x14ac:dyDescent="0.35">
      <c r="A9" s="213"/>
      <c r="B9" s="1180" t="s">
        <v>429</v>
      </c>
      <c r="C9" s="1181"/>
      <c r="D9" s="409">
        <v>2018</v>
      </c>
      <c r="E9" s="1188">
        <v>2019</v>
      </c>
      <c r="F9" s="1189"/>
      <c r="G9" s="1189"/>
      <c r="H9" s="1190"/>
      <c r="I9" s="1186">
        <v>2020</v>
      </c>
      <c r="J9" s="1187"/>
      <c r="K9" s="1187"/>
      <c r="L9" s="1187"/>
      <c r="M9" s="1191">
        <v>2021</v>
      </c>
      <c r="N9" s="1192"/>
      <c r="O9" s="1192"/>
      <c r="P9" s="818">
        <v>2021</v>
      </c>
      <c r="Q9" s="1184">
        <v>2022</v>
      </c>
      <c r="R9" s="1184"/>
      <c r="S9" s="1184"/>
      <c r="T9" s="1185"/>
    </row>
    <row r="10" spans="1:22" x14ac:dyDescent="0.35">
      <c r="B10" s="1182"/>
      <c r="C10" s="1183"/>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29" x14ac:dyDescent="0.35">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 t="shared" ref="P11:P13" si="0">P$14*P15</f>
        <v>12.2</v>
      </c>
      <c r="Q11" s="816">
        <f t="shared" ref="Q11:S11" si="1">Q$14*Q15</f>
        <v>0</v>
      </c>
      <c r="R11" s="816">
        <f t="shared" si="1"/>
        <v>0</v>
      </c>
      <c r="S11" s="816">
        <f t="shared" si="1"/>
        <v>0</v>
      </c>
      <c r="T11" s="874"/>
    </row>
    <row r="12" spans="1:22" ht="29" x14ac:dyDescent="0.35">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si="0"/>
        <v>4.8930481283422456</v>
      </c>
      <c r="Q12" s="364">
        <f t="shared" ref="Q12:S12" si="2">Q$14*Q16</f>
        <v>0</v>
      </c>
      <c r="R12" s="364">
        <f t="shared" si="2"/>
        <v>0</v>
      </c>
      <c r="S12" s="364">
        <f t="shared" si="2"/>
        <v>0</v>
      </c>
      <c r="T12" s="367"/>
    </row>
    <row r="13" spans="1:22" ht="42" customHeight="1" x14ac:dyDescent="0.35">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0"/>
        <v>7.3069518716577528</v>
      </c>
      <c r="Q13" s="364">
        <f>Q$14*Q17</f>
        <v>0</v>
      </c>
      <c r="R13" s="364">
        <f t="shared" ref="R13:S13" si="3">R$14*R17</f>
        <v>0</v>
      </c>
      <c r="S13" s="364">
        <f t="shared" si="3"/>
        <v>0</v>
      </c>
      <c r="T13" s="367"/>
      <c r="U13" s="440" t="s">
        <v>435</v>
      </c>
      <c r="V13" s="439" t="s">
        <v>436</v>
      </c>
    </row>
    <row r="14" spans="1:22" x14ac:dyDescent="0.35">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24.4</v>
      </c>
      <c r="Q14" s="363">
        <v>0</v>
      </c>
      <c r="R14" s="363">
        <v>0</v>
      </c>
      <c r="S14" s="363">
        <v>0</v>
      </c>
      <c r="T14" s="367"/>
      <c r="U14" s="960">
        <v>186.5</v>
      </c>
      <c r="V14" s="961">
        <f>SUM(J14:S14)/4</f>
        <v>186.45</v>
      </c>
    </row>
    <row r="15" spans="1:22" x14ac:dyDescent="0.35">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x14ac:dyDescent="0.35">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x14ac:dyDescent="0.35">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52" t="s">
        <v>236</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512"/>
      <c r="AA1" s="512"/>
      <c r="AB1" s="512"/>
      <c r="AC1" s="512"/>
      <c r="AD1" s="178"/>
      <c r="AE1" s="178"/>
    </row>
    <row r="2" spans="2:34" ht="14.15" customHeight="1" x14ac:dyDescent="0.3">
      <c r="B2" s="1153" t="s">
        <v>464</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c r="AD2" s="212"/>
      <c r="AE2" s="212"/>
    </row>
    <row r="3" spans="2:34" ht="50.5" customHeight="1" x14ac:dyDescent="0.3">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c r="AD3" s="212"/>
      <c r="AE3" s="212"/>
    </row>
    <row r="4" spans="2:34" ht="5.15" customHeight="1" x14ac:dyDescent="0.3">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c r="AD4" s="212"/>
      <c r="AE4" s="212"/>
    </row>
    <row r="5" spans="2:34" x14ac:dyDescent="0.3">
      <c r="B5" s="132" t="s">
        <v>465</v>
      </c>
    </row>
    <row r="6" spans="2:34" ht="14.5" customHeight="1" x14ac:dyDescent="0.3">
      <c r="B6" s="1157" t="s">
        <v>466</v>
      </c>
      <c r="C6" s="1158"/>
      <c r="D6" s="1164" t="s">
        <v>401</v>
      </c>
      <c r="E6" s="1165"/>
      <c r="F6" s="1165"/>
      <c r="G6" s="1165"/>
      <c r="H6" s="1165"/>
      <c r="I6" s="1165"/>
      <c r="J6" s="1165"/>
      <c r="K6" s="1165"/>
      <c r="L6" s="1165"/>
      <c r="M6" s="1204"/>
      <c r="N6" s="1205"/>
      <c r="O6" s="1167" t="s">
        <v>402</v>
      </c>
      <c r="P6" s="1168"/>
      <c r="Q6" s="1168"/>
      <c r="R6" s="1168"/>
      <c r="S6" s="1168"/>
      <c r="T6" s="1168"/>
      <c r="U6" s="1168"/>
      <c r="V6" s="1168"/>
      <c r="W6" s="1168"/>
      <c r="X6" s="1168"/>
      <c r="Y6" s="1168"/>
      <c r="Z6" s="1168"/>
      <c r="AA6" s="1168"/>
      <c r="AB6" s="1168"/>
      <c r="AC6" s="1169"/>
      <c r="AD6" s="1198" t="s">
        <v>467</v>
      </c>
      <c r="AE6" s="1201" t="s">
        <v>468</v>
      </c>
    </row>
    <row r="7" spans="2:34" ht="24" customHeight="1" x14ac:dyDescent="0.3">
      <c r="B7" s="1159"/>
      <c r="C7" s="1160"/>
      <c r="D7" s="513">
        <v>2018</v>
      </c>
      <c r="E7" s="1154">
        <v>2019</v>
      </c>
      <c r="F7" s="1155"/>
      <c r="G7" s="1155"/>
      <c r="H7" s="1156"/>
      <c r="I7" s="1154">
        <v>2020</v>
      </c>
      <c r="J7" s="1155"/>
      <c r="K7" s="1155"/>
      <c r="L7" s="1155"/>
      <c r="M7" s="1154">
        <v>2021</v>
      </c>
      <c r="N7" s="1155"/>
      <c r="O7" s="1156"/>
      <c r="P7" s="545">
        <v>2021</v>
      </c>
      <c r="Q7" s="1161">
        <v>2022</v>
      </c>
      <c r="R7" s="1162"/>
      <c r="S7" s="1162"/>
      <c r="T7" s="1163"/>
      <c r="U7" s="1161">
        <v>2023</v>
      </c>
      <c r="V7" s="1162"/>
      <c r="W7" s="1162"/>
      <c r="X7" s="1162"/>
      <c r="Y7" s="1161">
        <v>2024</v>
      </c>
      <c r="Z7" s="1162"/>
      <c r="AA7" s="1162"/>
      <c r="AB7" s="1163"/>
      <c r="AC7" s="322">
        <v>2025</v>
      </c>
      <c r="AD7" s="1199"/>
      <c r="AE7" s="1202"/>
    </row>
    <row r="8" spans="2:34" ht="14.15" customHeight="1" x14ac:dyDescent="0.3">
      <c r="B8" s="1193"/>
      <c r="C8" s="1194"/>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200"/>
      <c r="AE8" s="1203"/>
    </row>
    <row r="9" spans="2:34" ht="23.5" customHeight="1" x14ac:dyDescent="0.3">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827.28855154988548</v>
      </c>
      <c r="Q9" s="245">
        <f t="shared" ref="Q9:AC9" si="0">Q10+Q11</f>
        <v>1495.065605328623</v>
      </c>
      <c r="R9" s="245">
        <f t="shared" si="0"/>
        <v>842.44995563258396</v>
      </c>
      <c r="S9" s="245">
        <f t="shared" si="0"/>
        <v>817.61339315923772</v>
      </c>
      <c r="T9" s="245">
        <f t="shared" si="0"/>
        <v>841.72792294891951</v>
      </c>
      <c r="U9" s="245">
        <f t="shared" si="0"/>
        <v>836.89547110535011</v>
      </c>
      <c r="V9" s="245">
        <f t="shared" si="0"/>
        <v>832.17515789717027</v>
      </c>
      <c r="W9" s="245">
        <f t="shared" si="0"/>
        <v>827.56597448702905</v>
      </c>
      <c r="X9" s="245">
        <f t="shared" si="0"/>
        <v>811.37562640765304</v>
      </c>
      <c r="Y9" s="245">
        <f t="shared" si="0"/>
        <v>795.55968464774935</v>
      </c>
      <c r="Z9" s="245">
        <f t="shared" si="0"/>
        <v>785.86166867728252</v>
      </c>
      <c r="AA9" s="245">
        <f t="shared" si="0"/>
        <v>795.28311806528257</v>
      </c>
      <c r="AB9" s="245">
        <f t="shared" si="0"/>
        <v>790.94959274846474</v>
      </c>
      <c r="AC9" s="369">
        <f t="shared" si="0"/>
        <v>800.61467330346682</v>
      </c>
      <c r="AD9" s="544"/>
      <c r="AE9" s="892"/>
    </row>
    <row r="10" spans="2:34" s="79" customFormat="1" ht="28" x14ac:dyDescent="0.3">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538.19018291204748</v>
      </c>
      <c r="Q10" s="381">
        <f>Medicaid!Q26</f>
        <v>551.55270919710392</v>
      </c>
      <c r="R10" s="381">
        <f>Medicaid!R26</f>
        <v>559.20970242025965</v>
      </c>
      <c r="S10" s="381">
        <f>Medicaid!S26</f>
        <v>532.32580649257125</v>
      </c>
      <c r="T10" s="381">
        <f>Medicaid!T26</f>
        <v>523.02182961904396</v>
      </c>
      <c r="U10" s="381">
        <f>Medicaid!U26</f>
        <v>516.10149912857014</v>
      </c>
      <c r="V10" s="381">
        <f>Medicaid!V26</f>
        <v>509.27273455635293</v>
      </c>
      <c r="W10" s="381">
        <f>Medicaid!W26</f>
        <v>502.53432435369587</v>
      </c>
      <c r="X10" s="381">
        <f>Medicaid!X26</f>
        <v>509.45176934458243</v>
      </c>
      <c r="Y10" s="381">
        <f>Medicaid!Y26</f>
        <v>516.46443379189816</v>
      </c>
      <c r="Z10" s="381">
        <f>Medicaid!Z26</f>
        <v>523.57362840283258</v>
      </c>
      <c r="AA10" s="381">
        <f>Medicaid!AA26</f>
        <v>530.78068192661613</v>
      </c>
      <c r="AB10" s="381">
        <f>Medicaid!AB26</f>
        <v>538.08694140287128</v>
      </c>
      <c r="AC10" s="382">
        <f>Medicaid!AC26</f>
        <v>545.49377241338152</v>
      </c>
      <c r="AD10" s="593"/>
      <c r="AE10" s="424"/>
    </row>
    <row r="11" spans="2:34" s="79" customFormat="1" ht="17.149999999999999" customHeight="1" x14ac:dyDescent="0.3">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289.09836863783801</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x14ac:dyDescent="0.3">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x14ac:dyDescent="0.3">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x14ac:dyDescent="0.3">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4.8930481283422456</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37.298262032085567</v>
      </c>
      <c r="AE14" s="424">
        <f>AD27+AD31+AD37</f>
        <v>34.125000000000007</v>
      </c>
    </row>
    <row r="15" spans="2:34" s="79" customFormat="1" ht="15.65" customHeight="1" x14ac:dyDescent="0.3">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x14ac:dyDescent="0.3">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x14ac:dyDescent="0.3">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2" x14ac:dyDescent="0.3">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65" customHeight="1" x14ac:dyDescent="0.3">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65" customHeight="1" x14ac:dyDescent="0.3">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x14ac:dyDescent="0.35">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206" t="s">
        <v>485</v>
      </c>
      <c r="C23" s="1207"/>
      <c r="D23" s="1208"/>
      <c r="E23" s="1208"/>
      <c r="F23" s="1208"/>
      <c r="G23" s="1208"/>
      <c r="H23" s="1208"/>
      <c r="I23" s="1208"/>
      <c r="J23" s="1208"/>
      <c r="K23" s="1208"/>
      <c r="L23" s="1208"/>
      <c r="M23" s="1208"/>
      <c r="N23" s="1208"/>
      <c r="O23" s="1208"/>
      <c r="P23" s="1208"/>
      <c r="Q23" s="1208"/>
      <c r="R23" s="1208"/>
      <c r="S23" s="1208"/>
      <c r="T23" s="1208"/>
      <c r="U23" s="1208"/>
      <c r="V23" s="1208"/>
      <c r="W23" s="1208"/>
      <c r="X23" s="1208"/>
      <c r="Y23" s="1208"/>
      <c r="Z23" s="1208"/>
      <c r="AA23" s="1208"/>
      <c r="AB23" s="1208"/>
      <c r="AC23" s="1209"/>
      <c r="AD23" s="428" t="s">
        <v>467</v>
      </c>
      <c r="AE23" s="427"/>
    </row>
    <row r="24" spans="1:34" s="79" customFormat="1" ht="17.5" customHeight="1" x14ac:dyDescent="0.3">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197" t="s">
        <v>487</v>
      </c>
      <c r="AF24" s="1171"/>
    </row>
    <row r="25" spans="1:34" s="79" customFormat="1" x14ac:dyDescent="0.3">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x14ac:dyDescent="0.3">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x14ac:dyDescent="0.3">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x14ac:dyDescent="0.3">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197" t="s">
        <v>489</v>
      </c>
      <c r="AF28" s="1171"/>
    </row>
    <row r="29" spans="1:34" s="79" customFormat="1" x14ac:dyDescent="0.3">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197"/>
      <c r="AF29" s="1171"/>
    </row>
    <row r="30" spans="1:34" s="79" customFormat="1" ht="42" x14ac:dyDescent="0.3">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x14ac:dyDescent="0.3">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x14ac:dyDescent="0.3">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x14ac:dyDescent="0.3">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15" customHeight="1" x14ac:dyDescent="0.3">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197" t="s">
        <v>494</v>
      </c>
      <c r="AF34" s="1171"/>
    </row>
    <row r="35" spans="1:88" s="79" customFormat="1" ht="17.5" customHeight="1" x14ac:dyDescent="0.3">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x14ac:dyDescent="0.3">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x14ac:dyDescent="0.3">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x14ac:dyDescent="0.3">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x14ac:dyDescent="0.3">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649999999999999"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96"/>
      <c r="R47" s="1196"/>
      <c r="S47" s="1196"/>
      <c r="T47" s="1196"/>
      <c r="U47" s="1196"/>
      <c r="V47" s="1196"/>
      <c r="W47" s="1196"/>
      <c r="X47" s="1196"/>
      <c r="Y47" s="1196"/>
      <c r="Z47" s="1196"/>
      <c r="AA47" s="1196"/>
      <c r="AB47" s="1196"/>
      <c r="AC47" s="1196"/>
      <c r="AD47" s="1196"/>
      <c r="AE47" s="1196"/>
      <c r="AF47" s="1196"/>
      <c r="AG47" s="1196"/>
      <c r="AH47" s="1196"/>
    </row>
    <row r="48" spans="1:88" s="39" customFormat="1" ht="17.149999999999999"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70"/>
      <c r="R48" s="1170"/>
      <c r="S48" s="1170"/>
      <c r="T48" s="1170"/>
      <c r="U48" s="1170"/>
      <c r="V48" s="1170"/>
      <c r="W48" s="1170"/>
      <c r="X48" s="1170"/>
      <c r="Y48" s="1170"/>
      <c r="Z48" s="43"/>
      <c r="AA48" s="43"/>
      <c r="AB48" s="43"/>
      <c r="AC48" s="43"/>
      <c r="AD48" s="1170"/>
      <c r="AE48" s="1170"/>
      <c r="AF48" s="1170"/>
      <c r="AG48" s="1170"/>
      <c r="AH48" s="43"/>
    </row>
    <row r="49" spans="1:34" s="39" customFormat="1" ht="15.6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1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649999999999999"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149999999999999"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6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95"/>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95"/>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149999999999999"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149999999999999"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149999999999999"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149999999999999"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57" t="s">
        <v>508</v>
      </c>
      <c r="C71" s="1158"/>
      <c r="D71" s="1164" t="s">
        <v>401</v>
      </c>
      <c r="E71" s="1165"/>
      <c r="F71" s="1165"/>
      <c r="G71" s="1165"/>
      <c r="H71" s="1165"/>
      <c r="I71" s="1165"/>
      <c r="J71" s="1165"/>
      <c r="K71" s="1165"/>
      <c r="L71" s="1165"/>
      <c r="M71" s="1165"/>
      <c r="N71" s="1165"/>
      <c r="O71" s="1166"/>
      <c r="P71" s="1210" t="s">
        <v>402</v>
      </c>
      <c r="Q71" s="1211"/>
      <c r="R71" s="1211"/>
      <c r="S71" s="1211"/>
      <c r="T71" s="1211"/>
      <c r="U71" s="1211"/>
      <c r="V71" s="1211"/>
      <c r="W71" s="1211"/>
      <c r="X71" s="1211"/>
      <c r="Y71" s="1211"/>
      <c r="Z71" s="1211"/>
      <c r="AA71" s="1211"/>
      <c r="AB71" s="1211"/>
      <c r="AC71" s="1212"/>
      <c r="AD71" s="178"/>
      <c r="AE71" s="178"/>
    </row>
    <row r="72" spans="1:31" s="39" customFormat="1" x14ac:dyDescent="0.3">
      <c r="B72" s="1159"/>
      <c r="C72" s="1160"/>
      <c r="D72" s="513">
        <v>2018</v>
      </c>
      <c r="E72" s="1154">
        <v>2019</v>
      </c>
      <c r="F72" s="1155"/>
      <c r="G72" s="1155"/>
      <c r="H72" s="1156"/>
      <c r="I72" s="1154">
        <v>2020</v>
      </c>
      <c r="J72" s="1155"/>
      <c r="K72" s="1155"/>
      <c r="L72" s="1156"/>
      <c r="M72" s="1154">
        <v>2021</v>
      </c>
      <c r="N72" s="1155"/>
      <c r="O72" s="1156"/>
      <c r="P72" s="545">
        <v>2021</v>
      </c>
      <c r="Q72" s="1161">
        <v>2022</v>
      </c>
      <c r="R72" s="1162"/>
      <c r="S72" s="1162"/>
      <c r="T72" s="1163"/>
      <c r="U72" s="1161">
        <v>2023</v>
      </c>
      <c r="V72" s="1162"/>
      <c r="W72" s="1162"/>
      <c r="X72" s="1162"/>
      <c r="Y72" s="1161">
        <v>2024</v>
      </c>
      <c r="Z72" s="1162"/>
      <c r="AA72" s="1162"/>
      <c r="AB72" s="1163"/>
      <c r="AC72" s="322">
        <v>2025</v>
      </c>
      <c r="AD72" s="43"/>
      <c r="AE72" s="43"/>
    </row>
    <row r="73" spans="1:31" s="39" customFormat="1" x14ac:dyDescent="0.3">
      <c r="B73" s="1193"/>
      <c r="C73" s="1194"/>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15" customHeight="1" x14ac:dyDescent="0.35">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373.02054063783805</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x14ac:dyDescent="0.35">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4.8930481283422456</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x14ac:dyDescent="0.3">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x14ac:dyDescent="0.3">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x14ac:dyDescent="0.3">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x14ac:dyDescent="0.3">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x14ac:dyDescent="0.3">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x14ac:dyDescent="0.3">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x14ac:dyDescent="0.3">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65" customHeight="1" x14ac:dyDescent="0.3">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x14ac:dyDescent="0.3">
      <c r="B87" s="1152" t="s">
        <v>177</v>
      </c>
      <c r="C87" s="1152"/>
      <c r="D87" s="1152"/>
      <c r="E87" s="1152"/>
      <c r="F87" s="1152"/>
      <c r="G87" s="1152"/>
      <c r="H87" s="1152"/>
      <c r="I87" s="1152"/>
      <c r="J87" s="1152"/>
      <c r="K87" s="1152"/>
      <c r="L87" s="1152"/>
      <c r="M87" s="1152"/>
      <c r="N87" s="1152"/>
      <c r="O87" s="1152"/>
      <c r="P87" s="1152"/>
      <c r="Q87" s="1152"/>
      <c r="R87" s="1152"/>
      <c r="S87" s="1152"/>
      <c r="T87" s="1152"/>
      <c r="U87" s="1152"/>
      <c r="V87" s="1152"/>
      <c r="W87" s="1152"/>
      <c r="X87" s="1152"/>
      <c r="Y87" s="1152"/>
      <c r="Z87" s="512"/>
      <c r="AA87" s="512"/>
      <c r="AB87" s="512"/>
      <c r="AC87" s="512"/>
      <c r="AD87" s="178"/>
      <c r="AE87" s="178"/>
    </row>
    <row r="88" spans="2:31" ht="19" customHeight="1" x14ac:dyDescent="0.3">
      <c r="B88" s="1153" t="s">
        <v>515</v>
      </c>
      <c r="C88" s="1153"/>
      <c r="D88" s="1153"/>
      <c r="E88" s="1153"/>
      <c r="F88" s="1153"/>
      <c r="G88" s="1153"/>
      <c r="H88" s="1153"/>
      <c r="I88" s="1153"/>
      <c r="J88" s="1153"/>
      <c r="K88" s="1153"/>
      <c r="L88" s="1153"/>
      <c r="M88" s="1153"/>
      <c r="N88" s="1153"/>
      <c r="O88" s="1153"/>
      <c r="P88" s="1153"/>
      <c r="Q88" s="1153"/>
      <c r="R88" s="1153"/>
      <c r="S88" s="1153"/>
      <c r="T88" s="1153"/>
      <c r="U88" s="1153"/>
      <c r="V88" s="1153"/>
      <c r="W88" s="1153"/>
      <c r="X88" s="1153"/>
      <c r="Y88" s="1153"/>
      <c r="Z88" s="1153"/>
      <c r="AA88" s="1153"/>
      <c r="AB88" s="1153"/>
      <c r="AC88" s="1153"/>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57" t="s">
        <v>400</v>
      </c>
      <c r="C90" s="1158"/>
      <c r="D90" s="1164" t="s">
        <v>401</v>
      </c>
      <c r="E90" s="1165"/>
      <c r="F90" s="1165"/>
      <c r="G90" s="1165"/>
      <c r="H90" s="1165"/>
      <c r="I90" s="1165"/>
      <c r="J90" s="1165"/>
      <c r="K90" s="1165"/>
      <c r="L90" s="1165"/>
      <c r="M90" s="1165"/>
      <c r="N90" s="1165"/>
      <c r="O90" s="1166"/>
      <c r="P90" s="1210" t="s">
        <v>402</v>
      </c>
      <c r="Q90" s="1211"/>
      <c r="R90" s="1211"/>
      <c r="S90" s="1211"/>
      <c r="T90" s="1211"/>
      <c r="U90" s="1211"/>
      <c r="V90" s="1211"/>
      <c r="W90" s="1211"/>
      <c r="X90" s="1211"/>
      <c r="Y90" s="1211"/>
      <c r="Z90" s="1211"/>
      <c r="AA90" s="1211"/>
      <c r="AB90" s="1211"/>
      <c r="AC90" s="1212"/>
      <c r="AD90" s="178"/>
      <c r="AE90" s="178"/>
    </row>
    <row r="91" spans="2:31" x14ac:dyDescent="0.3">
      <c r="B91" s="1159"/>
      <c r="C91" s="1160"/>
      <c r="D91" s="513">
        <v>2018</v>
      </c>
      <c r="E91" s="1154">
        <v>2019</v>
      </c>
      <c r="F91" s="1155"/>
      <c r="G91" s="1155"/>
      <c r="H91" s="1156"/>
      <c r="I91" s="1154">
        <v>2020</v>
      </c>
      <c r="J91" s="1155"/>
      <c r="K91" s="1155"/>
      <c r="L91" s="1156"/>
      <c r="M91" s="1154">
        <v>2021</v>
      </c>
      <c r="N91" s="1155"/>
      <c r="O91" s="1156"/>
      <c r="P91" s="545">
        <v>2021</v>
      </c>
      <c r="Q91" s="1161">
        <v>2022</v>
      </c>
      <c r="R91" s="1162"/>
      <c r="S91" s="1162"/>
      <c r="T91" s="1163"/>
      <c r="U91" s="1161">
        <v>2023</v>
      </c>
      <c r="V91" s="1162"/>
      <c r="W91" s="1162"/>
      <c r="X91" s="1162"/>
      <c r="Y91" s="1161">
        <v>2024</v>
      </c>
      <c r="Z91" s="1162"/>
      <c r="AA91" s="1162"/>
      <c r="AB91" s="1163"/>
      <c r="AC91" s="322">
        <v>2025</v>
      </c>
      <c r="AD91" s="43"/>
      <c r="AE91" s="43"/>
    </row>
    <row r="92" spans="2:31" x14ac:dyDescent="0.3">
      <c r="B92" s="1193"/>
      <c r="C92" s="1194"/>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4.5" x14ac:dyDescent="0.3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15" customHeight="1" x14ac:dyDescent="0.3"/>
    <row r="96" spans="2:31" hidden="1" x14ac:dyDescent="0.3"/>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39" ht="20.149999999999999" customHeight="1" x14ac:dyDescent="0.3">
      <c r="B1" s="1152" t="s">
        <v>518</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9" ht="14.15" customHeight="1" x14ac:dyDescent="0.3">
      <c r="B2" s="1171" t="s">
        <v>519</v>
      </c>
      <c r="C2" s="1171"/>
      <c r="D2" s="1171"/>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2:39" ht="9" customHeight="1" x14ac:dyDescent="0.3">
      <c r="B3" s="1171"/>
      <c r="C3" s="1171"/>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2:39" ht="27" customHeight="1" x14ac:dyDescent="0.3">
      <c r="B4" s="1171"/>
      <c r="C4" s="1171"/>
      <c r="D4" s="1171"/>
      <c r="E4" s="1171"/>
      <c r="F4" s="1171"/>
      <c r="G4" s="1171"/>
      <c r="H4" s="1171"/>
      <c r="I4" s="1171"/>
      <c r="J4" s="1171"/>
      <c r="K4" s="1171"/>
      <c r="L4" s="1171"/>
      <c r="M4" s="1171"/>
      <c r="N4" s="1171"/>
      <c r="O4" s="1171"/>
      <c r="P4" s="1171"/>
      <c r="Q4" s="1171"/>
      <c r="R4" s="1171"/>
      <c r="S4" s="1171"/>
      <c r="T4" s="1171"/>
      <c r="U4" s="1171"/>
      <c r="V4" s="1171"/>
      <c r="W4" s="1171"/>
      <c r="X4" s="1171"/>
      <c r="Y4" s="1171"/>
      <c r="Z4" s="1171"/>
      <c r="AA4" s="1171"/>
      <c r="AB4" s="1171"/>
      <c r="AC4" s="1171"/>
      <c r="AE4" s="38"/>
      <c r="AF4" s="38"/>
      <c r="AG4" s="38"/>
      <c r="AH4" s="38"/>
      <c r="AI4" s="38"/>
      <c r="AJ4" s="38"/>
      <c r="AK4" s="38"/>
      <c r="AL4" s="38"/>
      <c r="AM4" s="38"/>
    </row>
    <row r="5" spans="2:39" x14ac:dyDescent="0.3">
      <c r="B5" s="39"/>
      <c r="AC5" s="50"/>
      <c r="AD5" s="50"/>
      <c r="AE5" s="50"/>
      <c r="AF5" s="50"/>
    </row>
    <row r="6" spans="2:39" ht="14.5" customHeight="1" x14ac:dyDescent="0.3">
      <c r="B6" s="1157" t="s">
        <v>400</v>
      </c>
      <c r="C6" s="1158"/>
      <c r="D6" s="1164" t="s">
        <v>401</v>
      </c>
      <c r="E6" s="1165"/>
      <c r="F6" s="1165"/>
      <c r="G6" s="1165"/>
      <c r="H6" s="1165"/>
      <c r="I6" s="1165"/>
      <c r="J6" s="1165"/>
      <c r="K6" s="1165"/>
      <c r="L6" s="1165"/>
      <c r="M6" s="1165"/>
      <c r="N6" s="1165"/>
      <c r="O6" s="1166"/>
      <c r="P6" s="1210" t="s">
        <v>402</v>
      </c>
      <c r="Q6" s="1211"/>
      <c r="R6" s="1211"/>
      <c r="S6" s="1211"/>
      <c r="T6" s="1211"/>
      <c r="U6" s="1211"/>
      <c r="V6" s="1211"/>
      <c r="W6" s="1211"/>
      <c r="X6" s="1211"/>
      <c r="Y6" s="1211"/>
      <c r="Z6" s="1211"/>
      <c r="AA6" s="1211"/>
      <c r="AB6" s="1211"/>
      <c r="AC6" s="1212"/>
    </row>
    <row r="7" spans="2:39" ht="14.5" customHeight="1" x14ac:dyDescent="0.3">
      <c r="B7" s="1159"/>
      <c r="C7" s="1160"/>
      <c r="D7" s="513">
        <v>2018</v>
      </c>
      <c r="E7" s="1154">
        <v>2019</v>
      </c>
      <c r="F7" s="1155"/>
      <c r="G7" s="1155"/>
      <c r="H7" s="1156"/>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2:39" x14ac:dyDescent="0.3">
      <c r="B8" s="1193"/>
      <c r="C8" s="1194"/>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15" customHeight="1" x14ac:dyDescent="0.3">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1562.1</v>
      </c>
      <c r="P9" s="903">
        <f t="shared" ref="P9:Y9" si="0">O9*((100 + P11)/100)^(0.25)</f>
        <v>1573.9267891323836</v>
      </c>
      <c r="Q9" s="903">
        <f t="shared" si="0"/>
        <v>1585.9354345503814</v>
      </c>
      <c r="R9" s="903">
        <f t="shared" si="0"/>
        <v>1587.9101975616902</v>
      </c>
      <c r="S9" s="903">
        <f t="shared" si="0"/>
        <v>1587.2547789253952</v>
      </c>
      <c r="T9" s="903">
        <f t="shared" si="0"/>
        <v>1587.4214144343857</v>
      </c>
      <c r="U9" s="903">
        <f t="shared" si="0"/>
        <v>1591.6665815728984</v>
      </c>
      <c r="V9" s="903">
        <f t="shared" si="0"/>
        <v>1597.5981128204228</v>
      </c>
      <c r="W9" s="903">
        <f t="shared" si="0"/>
        <v>1605.1922935912212</v>
      </c>
      <c r="X9" s="903">
        <f t="shared" si="0"/>
        <v>1614.118674329608</v>
      </c>
      <c r="Y9" s="903">
        <f t="shared" si="0"/>
        <v>1622.9240123392974</v>
      </c>
      <c r="Z9" s="903">
        <f t="shared" ref="Z9" si="1">Y9*((100 + Z11)/100)^(0.25)</f>
        <v>1631.7773852169912</v>
      </c>
      <c r="AA9" s="903">
        <f t="shared" ref="AA9" si="2">Z9*((100 + AA11)/100)^(0.25)</f>
        <v>1641.0802481012545</v>
      </c>
      <c r="AB9" s="903">
        <f t="shared" ref="AB9" si="3">AA9*((100 + AB11)/100)^(0.25)</f>
        <v>1650.0326668517271</v>
      </c>
      <c r="AC9" s="618">
        <f t="shared" ref="AC9" si="4">AB9*((100 + AC11)/100)^(0.25)</f>
        <v>1660.2500755702192</v>
      </c>
    </row>
    <row r="10" spans="2:39" ht="18" customHeight="1" x14ac:dyDescent="0.3">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x14ac:dyDescent="0.3">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x14ac:dyDescent="0.3">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100" customFormat="1" x14ac:dyDescent="0.3">
      <c r="B13" s="1110" t="s">
        <v>1257</v>
      </c>
      <c r="D13" s="1101"/>
      <c r="H13" s="1102"/>
      <c r="I13" s="1102"/>
      <c r="J13" s="1102"/>
      <c r="K13" s="1102"/>
      <c r="L13" s="1102"/>
      <c r="M13" s="1102"/>
      <c r="N13" s="1102"/>
      <c r="O13" s="1113"/>
      <c r="P13" s="1107">
        <v>3.5110000000000001</v>
      </c>
      <c r="Q13" s="1107">
        <v>3.5110000000000001</v>
      </c>
      <c r="R13" s="1107">
        <v>3.5110000000000001</v>
      </c>
      <c r="S13" s="1107">
        <v>3.5110000000000001</v>
      </c>
      <c r="T13" s="1107">
        <v>8.5</v>
      </c>
      <c r="U13" s="1107">
        <v>8.5</v>
      </c>
      <c r="V13" s="1107">
        <v>8.5</v>
      </c>
      <c r="W13" s="1107">
        <v>8.5</v>
      </c>
      <c r="X13" s="1107">
        <v>12.3</v>
      </c>
      <c r="Y13" s="1107">
        <v>12.3</v>
      </c>
      <c r="Z13" s="1107">
        <v>12.3</v>
      </c>
      <c r="AA13" s="1107">
        <v>12.3</v>
      </c>
      <c r="AB13" s="1107">
        <v>15.3</v>
      </c>
      <c r="AC13" s="1108">
        <v>15.3</v>
      </c>
    </row>
    <row r="14" spans="2:39" ht="29" x14ac:dyDescent="0.35">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1562.1</v>
      </c>
      <c r="P14" s="376">
        <f>P9 +P12+P13</f>
        <v>1577.4377891323836</v>
      </c>
      <c r="Q14" s="1109">
        <f t="shared" ref="Q14:AC14" si="6">Q9 +Q12+Q13</f>
        <v>1589.4464345503814</v>
      </c>
      <c r="R14" s="1109">
        <f t="shared" si="6"/>
        <v>1591.4211975616902</v>
      </c>
      <c r="S14" s="1109">
        <f t="shared" si="6"/>
        <v>1590.7657789253951</v>
      </c>
      <c r="T14" s="1109">
        <f t="shared" si="6"/>
        <v>1595.9214144343857</v>
      </c>
      <c r="U14" s="1109">
        <f t="shared" si="6"/>
        <v>1600.1665815728984</v>
      </c>
      <c r="V14" s="1109">
        <f t="shared" si="6"/>
        <v>1606.0981128204228</v>
      </c>
      <c r="W14" s="1109">
        <f t="shared" si="6"/>
        <v>1613.6922935912212</v>
      </c>
      <c r="X14" s="1109">
        <f t="shared" si="6"/>
        <v>1626.4186743296079</v>
      </c>
      <c r="Y14" s="1109">
        <f t="shared" si="6"/>
        <v>1635.2240123392974</v>
      </c>
      <c r="Z14" s="1109">
        <f t="shared" si="6"/>
        <v>1644.0773852169912</v>
      </c>
      <c r="AA14" s="1109">
        <f t="shared" si="6"/>
        <v>1653.3802481012544</v>
      </c>
      <c r="AB14" s="1109">
        <f t="shared" si="6"/>
        <v>1665.332666851727</v>
      </c>
      <c r="AC14" s="1109">
        <f t="shared" si="6"/>
        <v>1675.5500755702192</v>
      </c>
      <c r="AD14" s="34" t="s">
        <v>527</v>
      </c>
    </row>
    <row r="15" spans="2:39" x14ac:dyDescent="0.3">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2018.9899999999998</v>
      </c>
      <c r="P15" s="257">
        <f t="shared" si="7"/>
        <v>2025.8067583416503</v>
      </c>
      <c r="Q15" s="257">
        <f t="shared" si="7"/>
        <v>2035.3146740533291</v>
      </c>
      <c r="R15" s="257">
        <f t="shared" si="7"/>
        <v>2051.7111403454428</v>
      </c>
      <c r="S15" s="257">
        <f t="shared" si="7"/>
        <v>2062.0894801634904</v>
      </c>
      <c r="T15" s="257">
        <f t="shared" si="7"/>
        <v>2080.2208413356898</v>
      </c>
      <c r="U15" s="257">
        <f t="shared" si="7"/>
        <v>2096.8026613211068</v>
      </c>
      <c r="V15" s="257">
        <f t="shared" si="7"/>
        <v>2086.7146087326687</v>
      </c>
      <c r="W15" s="257">
        <f t="shared" si="7"/>
        <v>2092.8130282959828</v>
      </c>
      <c r="X15" s="257">
        <f t="shared" si="7"/>
        <v>2109.2793439641073</v>
      </c>
      <c r="Y15" s="257">
        <f t="shared" si="7"/>
        <v>2096.8458037665773</v>
      </c>
      <c r="Z15" s="257">
        <f t="shared" si="7"/>
        <v>2087.5049630628696</v>
      </c>
      <c r="AA15" s="257">
        <f t="shared" si="7"/>
        <v>2100.9324428113496</v>
      </c>
      <c r="AB15" s="257">
        <f t="shared" si="7"/>
        <v>2116.2270724687492</v>
      </c>
      <c r="AC15" s="258">
        <f t="shared" si="7"/>
        <v>2121.771402031733</v>
      </c>
      <c r="AD15" s="34" t="s">
        <v>529</v>
      </c>
    </row>
    <row r="18" spans="2:30" ht="21.65" customHeight="1" x14ac:dyDescent="0.3">
      <c r="B18" s="1152" t="s">
        <v>208</v>
      </c>
      <c r="C18" s="1152"/>
      <c r="D18" s="1152"/>
      <c r="E18" s="1152"/>
      <c r="F18" s="1152"/>
      <c r="G18" s="1152"/>
      <c r="H18" s="1152"/>
      <c r="I18" s="1152"/>
      <c r="J18" s="1152"/>
      <c r="K18" s="1152"/>
      <c r="L18" s="1152"/>
      <c r="M18" s="1152"/>
      <c r="N18" s="1152"/>
      <c r="O18" s="1152"/>
      <c r="P18" s="1152"/>
      <c r="Q18" s="1152"/>
      <c r="R18" s="1152"/>
      <c r="S18" s="1152"/>
      <c r="T18" s="1152"/>
      <c r="U18" s="1152"/>
      <c r="V18" s="1152"/>
      <c r="W18" s="1152"/>
      <c r="X18" s="1152"/>
      <c r="Y18" s="1152"/>
      <c r="Z18" s="1152"/>
      <c r="AA18" s="1152"/>
      <c r="AB18" s="1152"/>
      <c r="AC18" s="1152"/>
    </row>
    <row r="19" spans="2:30" ht="14.15" customHeight="1" x14ac:dyDescent="0.3">
      <c r="B19" s="1153" t="s">
        <v>530</v>
      </c>
      <c r="C19" s="1153"/>
      <c r="D19" s="1153"/>
      <c r="E19" s="1153"/>
      <c r="F19" s="1153"/>
      <c r="G19" s="1153"/>
      <c r="H19" s="1153"/>
      <c r="I19" s="1153"/>
      <c r="J19" s="1153"/>
      <c r="K19" s="1153"/>
      <c r="L19" s="1153"/>
      <c r="M19" s="1153"/>
      <c r="N19" s="1153"/>
      <c r="O19" s="1153"/>
      <c r="P19" s="1153"/>
      <c r="Q19" s="1153"/>
      <c r="R19" s="1153"/>
      <c r="S19" s="1153"/>
      <c r="T19" s="1153"/>
      <c r="U19" s="1153"/>
      <c r="V19" s="1153"/>
      <c r="W19" s="1153"/>
      <c r="X19" s="1153"/>
      <c r="Y19" s="1153"/>
      <c r="Z19" s="1153"/>
      <c r="AA19" s="1153"/>
      <c r="AB19" s="1153"/>
      <c r="AC19" s="1153"/>
    </row>
    <row r="20" spans="2:30" x14ac:dyDescent="0.3">
      <c r="B20" s="1153"/>
      <c r="C20" s="1153"/>
      <c r="D20" s="1153"/>
      <c r="E20" s="1153"/>
      <c r="F20" s="1153"/>
      <c r="G20" s="1153"/>
      <c r="H20" s="1153"/>
      <c r="I20" s="1153"/>
      <c r="J20" s="1153"/>
      <c r="K20" s="1153"/>
      <c r="L20" s="1153"/>
      <c r="M20" s="1153"/>
      <c r="N20" s="1153"/>
      <c r="O20" s="1153"/>
      <c r="P20" s="1153"/>
      <c r="Q20" s="1153"/>
      <c r="R20" s="1153"/>
      <c r="S20" s="1153"/>
      <c r="T20" s="1153"/>
      <c r="U20" s="1153"/>
      <c r="V20" s="1153"/>
      <c r="W20" s="1153"/>
      <c r="X20" s="1153"/>
      <c r="Y20" s="1153"/>
      <c r="Z20" s="1153"/>
      <c r="AA20" s="1153"/>
      <c r="AB20" s="1153"/>
      <c r="AC20" s="1153"/>
    </row>
    <row r="21" spans="2:30" x14ac:dyDescent="0.3">
      <c r="B21" s="1153"/>
      <c r="C21" s="1153"/>
      <c r="D21" s="1153"/>
      <c r="E21" s="1153"/>
      <c r="F21" s="1153"/>
      <c r="G21" s="1153"/>
      <c r="H21" s="1153"/>
      <c r="I21" s="1153"/>
      <c r="J21" s="1153"/>
      <c r="K21" s="1153"/>
      <c r="L21" s="1153"/>
      <c r="M21" s="1153"/>
      <c r="N21" s="1153"/>
      <c r="O21" s="1153"/>
      <c r="P21" s="1153"/>
      <c r="Q21" s="1153"/>
      <c r="R21" s="1153"/>
      <c r="S21" s="1153"/>
      <c r="T21" s="1153"/>
      <c r="U21" s="1153"/>
      <c r="V21" s="1153"/>
      <c r="W21" s="1153"/>
      <c r="X21" s="1153"/>
      <c r="Y21" s="1153"/>
      <c r="Z21" s="1153"/>
      <c r="AA21" s="1153"/>
      <c r="AB21" s="1153"/>
      <c r="AC21" s="1153"/>
    </row>
    <row r="23" spans="2:30" x14ac:dyDescent="0.3">
      <c r="B23" s="1157" t="s">
        <v>400</v>
      </c>
      <c r="C23" s="1158"/>
      <c r="D23" s="1164" t="s">
        <v>401</v>
      </c>
      <c r="E23" s="1165"/>
      <c r="F23" s="1165"/>
      <c r="G23" s="1165"/>
      <c r="H23" s="1165"/>
      <c r="I23" s="1165"/>
      <c r="J23" s="1165"/>
      <c r="K23" s="1165"/>
      <c r="L23" s="1165"/>
      <c r="M23" s="1165"/>
      <c r="N23" s="1165"/>
      <c r="O23" s="1166"/>
      <c r="P23" s="1210" t="s">
        <v>402</v>
      </c>
      <c r="Q23" s="1211"/>
      <c r="R23" s="1211"/>
      <c r="S23" s="1211"/>
      <c r="T23" s="1211"/>
      <c r="U23" s="1211"/>
      <c r="V23" s="1211"/>
      <c r="W23" s="1211"/>
      <c r="X23" s="1211"/>
      <c r="Y23" s="1211"/>
      <c r="Z23" s="1211"/>
      <c r="AA23" s="1211"/>
      <c r="AB23" s="1211"/>
      <c r="AC23" s="1212"/>
    </row>
    <row r="24" spans="2:30" x14ac:dyDescent="0.3">
      <c r="B24" s="1159"/>
      <c r="C24" s="1160"/>
      <c r="D24" s="513">
        <v>2018</v>
      </c>
      <c r="E24" s="1154">
        <v>2019</v>
      </c>
      <c r="F24" s="1155"/>
      <c r="G24" s="1155"/>
      <c r="H24" s="1156"/>
      <c r="I24" s="1154">
        <v>2020</v>
      </c>
      <c r="J24" s="1155"/>
      <c r="K24" s="1155"/>
      <c r="L24" s="1156"/>
      <c r="M24" s="1154">
        <v>2021</v>
      </c>
      <c r="N24" s="1155"/>
      <c r="O24" s="1156"/>
      <c r="P24" s="545">
        <v>2021</v>
      </c>
      <c r="Q24" s="1161">
        <v>2022</v>
      </c>
      <c r="R24" s="1162"/>
      <c r="S24" s="1162"/>
      <c r="T24" s="1163"/>
      <c r="U24" s="1161">
        <v>2023</v>
      </c>
      <c r="V24" s="1162"/>
      <c r="W24" s="1162"/>
      <c r="X24" s="1162"/>
      <c r="Y24" s="1161">
        <v>2024</v>
      </c>
      <c r="Z24" s="1162"/>
      <c r="AA24" s="1162"/>
      <c r="AB24" s="1163"/>
      <c r="AC24" s="322">
        <v>2025</v>
      </c>
    </row>
    <row r="25" spans="2:30" x14ac:dyDescent="0.3">
      <c r="B25" s="1193"/>
      <c r="C25" s="1194"/>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x14ac:dyDescent="0.3">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2514.9</v>
      </c>
      <c r="P26" s="417"/>
      <c r="Q26" s="417"/>
      <c r="R26" s="417"/>
      <c r="S26" s="417"/>
      <c r="T26" s="417"/>
      <c r="U26" s="417"/>
      <c r="V26" s="417"/>
      <c r="W26" s="417"/>
      <c r="X26" s="417"/>
      <c r="Y26" s="417"/>
      <c r="Z26" s="417"/>
      <c r="AA26" s="417"/>
      <c r="AB26" s="417"/>
      <c r="AC26" s="82"/>
    </row>
    <row r="27" spans="2:30" ht="21" customHeight="1" x14ac:dyDescent="0.3">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x14ac:dyDescent="0.3">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2514.9</v>
      </c>
      <c r="P28" s="376">
        <f t="shared" ref="P28:U28" si="9">O28*((100+P27)/100)^0.25</f>
        <v>2575.543516678471</v>
      </c>
      <c r="Q28" s="376">
        <f t="shared" si="9"/>
        <v>2631.6341692094484</v>
      </c>
      <c r="R28" s="376">
        <f t="shared" si="9"/>
        <v>2682.757733843011</v>
      </c>
      <c r="S28" s="376">
        <f t="shared" si="9"/>
        <v>2728.521623719575</v>
      </c>
      <c r="T28" s="376">
        <f t="shared" si="9"/>
        <v>2765.2889285658985</v>
      </c>
      <c r="U28" s="376">
        <f t="shared" si="9"/>
        <v>2799.2252025612861</v>
      </c>
      <c r="V28" s="376">
        <f t="shared" ref="V28" si="10">U28*((100+V27)/100)^0.25</f>
        <v>2833.5779504667935</v>
      </c>
      <c r="W28" s="376">
        <f t="shared" ref="W28" si="11">V28*((100+W27)/100)^0.25</f>
        <v>2868.3522833478787</v>
      </c>
      <c r="X28" s="376">
        <f t="shared" ref="X28" si="12">W28*((100+X27)/100)^0.25</f>
        <v>2903.5533749941942</v>
      </c>
      <c r="Y28" s="376">
        <f t="shared" ref="Y28" si="13">X28*((100+Y27)/100)^0.25</f>
        <v>2939.1864626893512</v>
      </c>
      <c r="Z28" s="376">
        <f t="shared" ref="Z28" si="14">Y28*((100+Z27)/100)^0.25</f>
        <v>2939.1864626893512</v>
      </c>
      <c r="AA28" s="376">
        <f t="shared" ref="AA28" si="15">Z28*((100+AA27)/100)^0.25</f>
        <v>2939.1864626893512</v>
      </c>
      <c r="AB28" s="376">
        <f t="shared" ref="AB28" si="16">AA28*((100+AB27)/100)^0.25</f>
        <v>2939.1864626893512</v>
      </c>
      <c r="AC28" s="377">
        <f t="shared" ref="AC28" si="17">AB28*((100+AC27)/100)^0.25</f>
        <v>2939.1864626893512</v>
      </c>
    </row>
    <row r="29" spans="2:30" x14ac:dyDescent="0.3">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2058.0100000000002</v>
      </c>
      <c r="P29" s="257">
        <f t="shared" ref="P29:AC29" si="19">P28-P49</f>
        <v>2127.1745474692043</v>
      </c>
      <c r="Q29" s="257">
        <f t="shared" si="19"/>
        <v>2185.7659297065006</v>
      </c>
      <c r="R29" s="257">
        <f t="shared" si="19"/>
        <v>2222.4677910592582</v>
      </c>
      <c r="S29" s="257">
        <f t="shared" si="19"/>
        <v>2257.19792248148</v>
      </c>
      <c r="T29" s="257">
        <f t="shared" si="19"/>
        <v>2280.9895016645942</v>
      </c>
      <c r="U29" s="257">
        <f t="shared" si="19"/>
        <v>2302.5891228130777</v>
      </c>
      <c r="V29" s="257">
        <f t="shared" si="19"/>
        <v>2352.9614545545478</v>
      </c>
      <c r="W29" s="257">
        <f t="shared" si="19"/>
        <v>2389.2315486431171</v>
      </c>
      <c r="X29" s="257">
        <f t="shared" si="19"/>
        <v>2420.6927053596951</v>
      </c>
      <c r="Y29" s="257">
        <f t="shared" si="19"/>
        <v>2477.5646712620714</v>
      </c>
      <c r="Z29" s="257">
        <f t="shared" si="19"/>
        <v>2495.7588848434725</v>
      </c>
      <c r="AA29" s="257">
        <f t="shared" si="19"/>
        <v>2491.634267979256</v>
      </c>
      <c r="AB29" s="257">
        <f t="shared" si="19"/>
        <v>2488.292057072329</v>
      </c>
      <c r="AC29" s="258">
        <f t="shared" si="19"/>
        <v>2492.9651362278373</v>
      </c>
      <c r="AD29" s="34" t="s">
        <v>536</v>
      </c>
    </row>
    <row r="30" spans="2:30" x14ac:dyDescent="0.3">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5.9303747728829848E-2</v>
      </c>
      <c r="P30" s="648">
        <f t="shared" ref="P30:R30" si="21">(P29/O29)^4-1</f>
        <v>0.1413598432157952</v>
      </c>
      <c r="Q30" s="648">
        <f t="shared" si="21"/>
        <v>0.11481318716628053</v>
      </c>
      <c r="R30" s="648">
        <f t="shared" si="21"/>
        <v>6.8875922146102386E-2</v>
      </c>
      <c r="S30" s="648">
        <f t="shared" ref="S30" si="22">(S29/R29)^4-1</f>
        <v>6.3987840239808635E-2</v>
      </c>
      <c r="T30" s="648">
        <f t="shared" ref="T30" si="23">(T29/S29)^4-1</f>
        <v>4.28325495987536E-2</v>
      </c>
      <c r="U30" s="648">
        <f t="shared" ref="U30" si="24">(U29/T29)^4-1</f>
        <v>3.8419056291199905E-2</v>
      </c>
      <c r="V30" s="648">
        <f t="shared" ref="V30" si="25">(V29/U29)^4-1</f>
        <v>9.0419114799404898E-2</v>
      </c>
      <c r="W30" s="648">
        <f t="shared" ref="W30" si="26">(W29/V29)^4-1</f>
        <v>6.3099005761817928E-2</v>
      </c>
      <c r="X30" s="648">
        <f t="shared" ref="X30" si="27">(X29/W29)^4-1</f>
        <v>5.3721115135747732E-2</v>
      </c>
      <c r="Y30" s="648">
        <f t="shared" ref="Y30" si="28">(Y29/X29)^4-1</f>
        <v>9.7340359304695756E-2</v>
      </c>
      <c r="Z30" s="648">
        <f t="shared" ref="Z30" si="29">(Z29/Y29)^4-1</f>
        <v>2.9699507722056762E-2</v>
      </c>
    </row>
    <row r="31" spans="2:30" x14ac:dyDescent="0.3">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x14ac:dyDescent="0.3">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x14ac:dyDescent="0.35">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x14ac:dyDescent="0.35">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x14ac:dyDescent="0.35">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4.5" x14ac:dyDescent="0.35">
      <c r="B36" s="67"/>
      <c r="C36" s="347"/>
      <c r="D36" s="347"/>
      <c r="E36" s="347"/>
      <c r="F36" s="347"/>
      <c r="G36" s="347"/>
      <c r="H36" s="56"/>
      <c r="I36" s="56"/>
      <c r="J36" s="56"/>
      <c r="K36"/>
      <c r="L36"/>
      <c r="M36"/>
      <c r="N36"/>
      <c r="O36"/>
      <c r="P36"/>
      <c r="Q36"/>
      <c r="R36" s="56"/>
      <c r="S36" s="56"/>
      <c r="T36" s="56"/>
      <c r="U36" s="56"/>
      <c r="V36" s="56"/>
      <c r="W36" s="56"/>
      <c r="X36" s="56"/>
      <c r="Y36" s="56"/>
      <c r="Z36" s="56"/>
    </row>
    <row r="37" spans="2:29" ht="12.65" customHeight="1" x14ac:dyDescent="0.3"/>
    <row r="38" spans="2:29" x14ac:dyDescent="0.3">
      <c r="B38" s="1152" t="s">
        <v>545</v>
      </c>
      <c r="C38" s="1152"/>
      <c r="D38" s="1152"/>
      <c r="E38" s="1152"/>
      <c r="F38" s="1152"/>
      <c r="G38" s="1152"/>
      <c r="H38" s="1152"/>
      <c r="I38" s="1152"/>
      <c r="J38" s="1152"/>
      <c r="K38" s="1152"/>
      <c r="L38" s="1152"/>
      <c r="M38" s="1152"/>
      <c r="N38" s="1152"/>
      <c r="O38" s="1152"/>
      <c r="P38" s="1152"/>
      <c r="Q38" s="1152"/>
      <c r="R38" s="1152"/>
      <c r="S38" s="1152"/>
      <c r="T38" s="1152"/>
      <c r="U38" s="1152"/>
      <c r="V38" s="1152"/>
      <c r="W38" s="1152"/>
      <c r="X38" s="1152"/>
      <c r="Y38" s="1152"/>
      <c r="Z38" s="1152"/>
      <c r="AA38" s="1152"/>
      <c r="AB38" s="1152"/>
      <c r="AC38" s="1152"/>
    </row>
    <row r="39" spans="2:29" ht="9" customHeight="1" x14ac:dyDescent="0.3">
      <c r="B39" s="1152"/>
      <c r="C39" s="1152"/>
      <c r="D39" s="1152"/>
      <c r="E39" s="1152"/>
      <c r="F39" s="1152"/>
      <c r="G39" s="1152"/>
      <c r="H39" s="1152"/>
      <c r="I39" s="1152"/>
      <c r="J39" s="1152"/>
      <c r="K39" s="1152"/>
      <c r="L39" s="1152"/>
      <c r="M39" s="1152"/>
      <c r="N39" s="1152"/>
      <c r="O39" s="1152"/>
      <c r="P39" s="1152"/>
      <c r="Q39" s="1152"/>
      <c r="R39" s="1152"/>
      <c r="S39" s="1152"/>
      <c r="T39" s="1152"/>
      <c r="U39" s="1152"/>
      <c r="V39" s="1152"/>
      <c r="W39" s="1152"/>
      <c r="X39" s="1152"/>
      <c r="Y39" s="1152"/>
      <c r="Z39" s="1152"/>
      <c r="AA39" s="1152"/>
      <c r="AB39" s="1152"/>
      <c r="AC39" s="1152"/>
    </row>
    <row r="40" spans="2:29" ht="14.15" customHeight="1" x14ac:dyDescent="0.3">
      <c r="B40" s="1221" t="s">
        <v>546</v>
      </c>
      <c r="C40" s="1221"/>
      <c r="D40" s="1221"/>
      <c r="E40" s="1221"/>
      <c r="F40" s="1221"/>
      <c r="G40" s="1221"/>
      <c r="H40" s="1221"/>
      <c r="I40" s="1221"/>
      <c r="J40" s="1221"/>
      <c r="K40" s="1221"/>
      <c r="L40" s="1221"/>
      <c r="M40" s="1221"/>
      <c r="N40" s="1221"/>
      <c r="O40" s="1221"/>
      <c r="P40" s="1221"/>
      <c r="Q40" s="1221"/>
      <c r="R40" s="1221"/>
      <c r="S40" s="1221"/>
      <c r="T40" s="1221"/>
      <c r="U40" s="1221"/>
      <c r="V40" s="1221"/>
      <c r="W40" s="1221"/>
      <c r="X40" s="1221"/>
      <c r="Y40" s="1221"/>
      <c r="Z40" s="1221"/>
      <c r="AA40" s="1221"/>
      <c r="AB40" s="1221"/>
      <c r="AC40" s="1221"/>
    </row>
    <row r="41" spans="2:29" x14ac:dyDescent="0.3">
      <c r="B41" s="1221"/>
      <c r="C41" s="1221"/>
      <c r="D41" s="1221"/>
      <c r="E41" s="1221"/>
      <c r="F41" s="1221"/>
      <c r="G41" s="1221"/>
      <c r="H41" s="1221"/>
      <c r="I41" s="1221"/>
      <c r="J41" s="1221"/>
      <c r="K41" s="1221"/>
      <c r="L41" s="1221"/>
      <c r="M41" s="1221"/>
      <c r="N41" s="1221"/>
      <c r="O41" s="1221"/>
      <c r="P41" s="1221"/>
      <c r="Q41" s="1221"/>
      <c r="R41" s="1221"/>
      <c r="S41" s="1221"/>
      <c r="T41" s="1221"/>
      <c r="U41" s="1221"/>
      <c r="V41" s="1221"/>
      <c r="W41" s="1221"/>
      <c r="X41" s="1221"/>
      <c r="Y41" s="1221"/>
      <c r="Z41" s="1221"/>
      <c r="AA41" s="1221"/>
      <c r="AB41" s="1221"/>
      <c r="AC41" s="1221"/>
    </row>
    <row r="42" spans="2:29" ht="8.5" customHeight="1" x14ac:dyDescent="0.3">
      <c r="B42" s="1221"/>
      <c r="C42" s="1221"/>
      <c r="D42" s="1221"/>
      <c r="E42" s="1221"/>
      <c r="F42" s="1221"/>
      <c r="G42" s="1221"/>
      <c r="H42" s="1221"/>
      <c r="I42" s="1221"/>
      <c r="J42" s="1221"/>
      <c r="K42" s="1221"/>
      <c r="L42" s="1221"/>
      <c r="M42" s="1221"/>
      <c r="N42" s="1221"/>
      <c r="O42" s="1221"/>
      <c r="P42" s="1221"/>
      <c r="Q42" s="1221"/>
      <c r="R42" s="1221"/>
      <c r="S42" s="1221"/>
      <c r="T42" s="1221"/>
      <c r="U42" s="1221"/>
      <c r="V42" s="1221"/>
      <c r="W42" s="1221"/>
      <c r="X42" s="1221"/>
      <c r="Y42" s="1221"/>
      <c r="Z42" s="1221"/>
      <c r="AA42" s="1221"/>
      <c r="AB42" s="1221"/>
      <c r="AC42" s="1221"/>
    </row>
    <row r="43" spans="2:29" ht="12.65" customHeight="1" x14ac:dyDescent="0.3"/>
    <row r="44" spans="2:29" ht="30.65" customHeight="1" x14ac:dyDescent="0.3">
      <c r="B44" s="1157" t="s">
        <v>400</v>
      </c>
      <c r="C44" s="1222"/>
      <c r="D44" s="1164" t="s">
        <v>401</v>
      </c>
      <c r="E44" s="1165"/>
      <c r="F44" s="1165"/>
      <c r="G44" s="1165"/>
      <c r="H44" s="1165"/>
      <c r="I44" s="1165"/>
      <c r="J44" s="1165"/>
      <c r="K44" s="1165"/>
      <c r="L44" s="1165"/>
      <c r="M44" s="1165"/>
      <c r="N44" s="1165"/>
      <c r="O44" s="1166"/>
      <c r="P44" s="1210" t="s">
        <v>402</v>
      </c>
      <c r="Q44" s="1211"/>
      <c r="R44" s="1211"/>
      <c r="S44" s="1211"/>
      <c r="T44" s="1211"/>
      <c r="U44" s="1211"/>
      <c r="V44" s="1211"/>
      <c r="W44" s="1211"/>
      <c r="X44" s="1211"/>
      <c r="Y44" s="1211"/>
      <c r="Z44" s="1211"/>
      <c r="AA44" s="1211"/>
      <c r="AB44" s="1211"/>
      <c r="AC44" s="1212"/>
    </row>
    <row r="45" spans="2:29" x14ac:dyDescent="0.3">
      <c r="B45" s="1159"/>
      <c r="C45" s="1223"/>
      <c r="D45" s="513">
        <v>2018</v>
      </c>
      <c r="E45" s="1154">
        <v>2019</v>
      </c>
      <c r="F45" s="1155"/>
      <c r="G45" s="1155"/>
      <c r="H45" s="1156"/>
      <c r="I45" s="1154">
        <v>2020</v>
      </c>
      <c r="J45" s="1155"/>
      <c r="K45" s="1155"/>
      <c r="L45" s="1156"/>
      <c r="M45" s="1154">
        <v>2021</v>
      </c>
      <c r="N45" s="1155"/>
      <c r="O45" s="1156"/>
      <c r="P45" s="545">
        <v>2021</v>
      </c>
      <c r="Q45" s="1161">
        <v>2022</v>
      </c>
      <c r="R45" s="1162"/>
      <c r="S45" s="1162"/>
      <c r="T45" s="1163"/>
      <c r="U45" s="1161">
        <v>2023</v>
      </c>
      <c r="V45" s="1162"/>
      <c r="W45" s="1162"/>
      <c r="X45" s="1162"/>
      <c r="Y45" s="1161">
        <v>2024</v>
      </c>
      <c r="Z45" s="1162"/>
      <c r="AA45" s="1162"/>
      <c r="AB45" s="1163"/>
      <c r="AC45" s="322">
        <v>2025</v>
      </c>
    </row>
    <row r="46" spans="2:29" x14ac:dyDescent="0.3">
      <c r="B46" s="1193"/>
      <c r="C46" s="1224"/>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x14ac:dyDescent="0.3">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x14ac:dyDescent="0.3">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373.02054063783805</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x14ac:dyDescent="0.3">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448.36896920926665</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x14ac:dyDescent="0.3">
      <c r="AM50" s="1215" t="s">
        <v>548</v>
      </c>
      <c r="AN50" s="1216"/>
      <c r="AO50" s="1164" t="s">
        <v>401</v>
      </c>
      <c r="AP50" s="1165"/>
      <c r="AQ50" s="1165"/>
      <c r="AR50" s="1165"/>
      <c r="AS50" s="1165"/>
      <c r="AT50" s="1166"/>
      <c r="AU50" s="1225" t="s">
        <v>402</v>
      </c>
      <c r="AV50" s="1225"/>
      <c r="AW50" s="1225"/>
      <c r="AX50" s="1225"/>
      <c r="AY50" s="1225"/>
      <c r="AZ50" s="1225"/>
      <c r="BA50" s="1225"/>
      <c r="BB50" s="1225"/>
    </row>
    <row r="51" spans="2:58" x14ac:dyDescent="0.3">
      <c r="AM51" s="1217"/>
      <c r="AN51" s="1218"/>
      <c r="AO51" s="907">
        <v>2019</v>
      </c>
      <c r="AP51" s="1154">
        <v>2020</v>
      </c>
      <c r="AQ51" s="1155"/>
      <c r="AR51" s="1155"/>
      <c r="AS51" s="1156"/>
      <c r="AT51" s="907">
        <v>2021</v>
      </c>
      <c r="AU51" s="1161">
        <v>2021</v>
      </c>
      <c r="AV51" s="1162"/>
      <c r="AW51" s="1163"/>
      <c r="AX51" s="1161">
        <v>2022</v>
      </c>
      <c r="AY51" s="1162"/>
      <c r="AZ51" s="1162"/>
      <c r="BA51" s="1163"/>
      <c r="BB51" s="322">
        <v>2023</v>
      </c>
    </row>
    <row r="52" spans="2:58" x14ac:dyDescent="0.3">
      <c r="AM52" s="1217"/>
      <c r="AN52" s="1218"/>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28" x14ac:dyDescent="0.3">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28" x14ac:dyDescent="0.3">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x14ac:dyDescent="0.3">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x14ac:dyDescent="0.3">
      <c r="AM56" s="1219" t="s">
        <v>552</v>
      </c>
      <c r="AN56" s="1220"/>
      <c r="AO56" s="63"/>
      <c r="AP56" s="61"/>
      <c r="AQ56" s="61"/>
      <c r="AR56" s="62"/>
      <c r="AS56" s="62"/>
      <c r="AT56" s="62"/>
      <c r="AU56" s="370"/>
      <c r="AV56" s="371"/>
      <c r="AW56" s="371"/>
      <c r="AX56" s="371"/>
      <c r="AY56" s="371"/>
      <c r="AZ56" s="371"/>
      <c r="BA56" s="371"/>
      <c r="BB56" s="372"/>
    </row>
    <row r="57" spans="2:58" ht="28" x14ac:dyDescent="0.3">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28" x14ac:dyDescent="0.3">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28" x14ac:dyDescent="0.3">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x14ac:dyDescent="0.3">
      <c r="AM60" s="1213" t="s">
        <v>556</v>
      </c>
      <c r="AN60" s="1214"/>
      <c r="AO60" s="144"/>
      <c r="AP60" s="43"/>
      <c r="AQ60" s="43"/>
      <c r="AR60" s="43"/>
      <c r="AS60" s="43"/>
      <c r="AT60" s="43"/>
      <c r="AU60" s="405"/>
      <c r="AV60" s="406"/>
      <c r="AW60" s="406"/>
      <c r="AX60" s="406"/>
      <c r="AY60" s="406"/>
      <c r="AZ60" s="406"/>
      <c r="BA60" s="406"/>
      <c r="BB60" s="407"/>
    </row>
    <row r="61" spans="2:58" ht="28" x14ac:dyDescent="0.3">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2097.6310307907333</v>
      </c>
      <c r="AX61" s="376">
        <f t="shared" si="33"/>
        <v>2125.1317604970523</v>
      </c>
      <c r="AY61" s="376">
        <f t="shared" si="33"/>
        <v>2134.7100572162472</v>
      </c>
      <c r="AZ61" s="376">
        <f t="shared" si="33"/>
        <v>2149.6762987619049</v>
      </c>
      <c r="BA61" s="376">
        <f t="shared" si="33"/>
        <v>2161.7005730986957</v>
      </c>
      <c r="BB61" s="377">
        <f t="shared" si="33"/>
        <v>2175.3639202517916</v>
      </c>
    </row>
    <row r="62" spans="2:58" ht="28" x14ac:dyDescent="0.3">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1948.6310307907333</v>
      </c>
      <c r="AX62" s="376">
        <f t="shared" si="34"/>
        <v>1971.1317604970523</v>
      </c>
      <c r="AY62" s="376">
        <f t="shared" si="34"/>
        <v>1978.7100572162472</v>
      </c>
      <c r="AZ62" s="376">
        <f t="shared" si="34"/>
        <v>1990.6762987619049</v>
      </c>
      <c r="BA62" s="376">
        <f t="shared" si="34"/>
        <v>2001.7005730986957</v>
      </c>
      <c r="BB62" s="377">
        <f t="shared" si="34"/>
        <v>2016.3639202517916</v>
      </c>
    </row>
    <row r="63" spans="2:58" ht="28" x14ac:dyDescent="0.3">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2120.9310307907335</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B1:AC1"/>
    <mergeCell ref="B6:C8"/>
    <mergeCell ref="D6:O6"/>
    <mergeCell ref="P6:AC6"/>
    <mergeCell ref="E7:H7"/>
    <mergeCell ref="I7:L7"/>
    <mergeCell ref="M7:O7"/>
    <mergeCell ref="Q7:T7"/>
    <mergeCell ref="U7:X7"/>
    <mergeCell ref="Y7:AB7"/>
    <mergeCell ref="AU50:BB50"/>
    <mergeCell ref="D44:O44"/>
    <mergeCell ref="P44:AC44"/>
    <mergeCell ref="M45:O45"/>
    <mergeCell ref="B2:AC4"/>
    <mergeCell ref="B18:AC18"/>
    <mergeCell ref="B19:AC21"/>
    <mergeCell ref="D23:O23"/>
    <mergeCell ref="AO50:AT50"/>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M60:AN60"/>
    <mergeCell ref="AM50:AN52"/>
    <mergeCell ref="Q24:T24"/>
    <mergeCell ref="I24:L24"/>
    <mergeCell ref="P23:AC23"/>
    <mergeCell ref="M24:O2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8" zoomScale="74" zoomScaleNormal="80" workbookViewId="0">
      <selection activeCell="P25" sqref="P25:S25"/>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52" t="s">
        <v>73</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s="128" customFormat="1" ht="14.5" customHeight="1" x14ac:dyDescent="0.35">
      <c r="B2" s="1153" t="s">
        <v>557</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s="128" customFormat="1" ht="14.5" customHeight="1" x14ac:dyDescent="0.35">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s="128" customFormat="1" ht="14.5" customHeight="1" x14ac:dyDescent="0.35">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29" s="128" customFormat="1" ht="14.5" customHeight="1" x14ac:dyDescent="0.35">
      <c r="B5" s="1153"/>
      <c r="C5" s="1153"/>
      <c r="D5" s="1153"/>
      <c r="E5" s="1153"/>
      <c r="F5" s="1153"/>
      <c r="G5" s="1153"/>
      <c r="H5" s="1153"/>
      <c r="I5" s="1153"/>
      <c r="J5" s="1153"/>
      <c r="K5" s="1153"/>
      <c r="L5" s="1153"/>
      <c r="M5" s="1153"/>
      <c r="N5" s="1153"/>
      <c r="O5" s="1153"/>
      <c r="P5" s="1153"/>
      <c r="Q5" s="1153"/>
      <c r="R5" s="1153"/>
      <c r="S5" s="1153"/>
      <c r="T5" s="1153"/>
      <c r="U5" s="1153"/>
      <c r="V5" s="1153"/>
      <c r="W5" s="1153"/>
      <c r="X5" s="1153"/>
      <c r="Y5" s="1153"/>
      <c r="Z5" s="1153"/>
      <c r="AA5" s="1153"/>
      <c r="AB5" s="1153"/>
      <c r="AC5" s="1153"/>
    </row>
    <row r="6" spans="2:29" s="128" customFormat="1" ht="14.5" customHeight="1" x14ac:dyDescent="0.35">
      <c r="B6" s="1153"/>
      <c r="C6" s="1153"/>
      <c r="D6" s="1153"/>
      <c r="E6" s="1153"/>
      <c r="F6" s="1153"/>
      <c r="G6" s="1153"/>
      <c r="H6" s="1153"/>
      <c r="I6" s="1153"/>
      <c r="J6" s="1153"/>
      <c r="K6" s="1153"/>
      <c r="L6" s="1153"/>
      <c r="M6" s="1153"/>
      <c r="N6" s="1153"/>
      <c r="O6" s="1153"/>
      <c r="P6" s="1153"/>
      <c r="Q6" s="1153"/>
      <c r="R6" s="1153"/>
      <c r="S6" s="1153"/>
      <c r="T6" s="1153"/>
      <c r="U6" s="1153"/>
      <c r="V6" s="1153"/>
      <c r="W6" s="1153"/>
      <c r="X6" s="1153"/>
      <c r="Y6" s="1153"/>
      <c r="Z6" s="1153"/>
      <c r="AA6" s="1153"/>
      <c r="AB6" s="1153"/>
      <c r="AC6" s="1153"/>
    </row>
    <row r="7" spans="2:29" s="128" customFormat="1" ht="33.6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57" t="s">
        <v>558</v>
      </c>
      <c r="C8" s="1158"/>
      <c r="D8" s="1164" t="s">
        <v>401</v>
      </c>
      <c r="E8" s="1165"/>
      <c r="F8" s="1165"/>
      <c r="G8" s="1165"/>
      <c r="H8" s="1165"/>
      <c r="I8" s="1165"/>
      <c r="J8" s="1165"/>
      <c r="K8" s="1165"/>
      <c r="L8" s="1165"/>
      <c r="M8" s="1165"/>
      <c r="N8" s="1165"/>
      <c r="O8" s="1166"/>
      <c r="P8" s="1210" t="s">
        <v>402</v>
      </c>
      <c r="Q8" s="1211"/>
      <c r="R8" s="1211"/>
      <c r="S8" s="1211"/>
      <c r="T8" s="1211"/>
      <c r="U8" s="1211"/>
      <c r="V8" s="1211"/>
      <c r="W8" s="1211"/>
      <c r="X8" s="1211"/>
      <c r="Y8" s="1211"/>
      <c r="Z8" s="1211"/>
      <c r="AA8" s="1211"/>
      <c r="AB8" s="1211"/>
      <c r="AC8" s="1212"/>
    </row>
    <row r="9" spans="2:29" x14ac:dyDescent="0.35">
      <c r="B9" s="1159"/>
      <c r="C9" s="1160"/>
      <c r="D9" s="513">
        <v>2018</v>
      </c>
      <c r="E9" s="1154">
        <v>2019</v>
      </c>
      <c r="F9" s="1155"/>
      <c r="G9" s="1155"/>
      <c r="H9" s="1156"/>
      <c r="I9" s="1154">
        <v>2020</v>
      </c>
      <c r="J9" s="1155"/>
      <c r="K9" s="1155"/>
      <c r="L9" s="1156"/>
      <c r="M9" s="1154">
        <v>2021</v>
      </c>
      <c r="N9" s="1155"/>
      <c r="O9" s="1156"/>
      <c r="P9" s="545">
        <v>2021</v>
      </c>
      <c r="Q9" s="1161">
        <v>2022</v>
      </c>
      <c r="R9" s="1162"/>
      <c r="S9" s="1162"/>
      <c r="T9" s="1163"/>
      <c r="U9" s="1161">
        <v>2023</v>
      </c>
      <c r="V9" s="1162"/>
      <c r="W9" s="1162"/>
      <c r="X9" s="1162"/>
      <c r="Y9" s="1161">
        <v>2024</v>
      </c>
      <c r="Z9" s="1162"/>
      <c r="AA9" s="1162"/>
      <c r="AB9" s="1163"/>
      <c r="AC9" s="322">
        <v>2025</v>
      </c>
    </row>
    <row r="10" spans="2:29" x14ac:dyDescent="0.35">
      <c r="B10" s="1193"/>
      <c r="C10" s="1194"/>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x14ac:dyDescent="0.35">
      <c r="B11" s="1219" t="s">
        <v>559</v>
      </c>
      <c r="C11" s="1220"/>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554.5</v>
      </c>
      <c r="P11" s="600">
        <f>P12+P13</f>
        <v>226.34373240653508</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x14ac:dyDescent="0.35">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76.383519999999976</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x14ac:dyDescent="0.35">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150.24373240653506</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x14ac:dyDescent="0.35">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x14ac:dyDescent="0.35">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118.09595187165775</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x14ac:dyDescent="0.35">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x14ac:dyDescent="0.35">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x14ac:dyDescent="0.35">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x14ac:dyDescent="0.35">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7.3069518716577528</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x14ac:dyDescent="0.35">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x14ac:dyDescent="0.35">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x14ac:dyDescent="0.35">
      <c r="B22" s="972" t="s">
        <v>569</v>
      </c>
      <c r="C22" s="95" t="s">
        <v>1218</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x14ac:dyDescent="0.35">
      <c r="B23" s="972" t="s">
        <v>570</v>
      </c>
      <c r="C23" s="95" t="s">
        <v>1217</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x14ac:dyDescent="0.35">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x14ac:dyDescent="0.35">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x14ac:dyDescent="0.35">
      <c r="B26" s="1228" t="s">
        <v>573</v>
      </c>
      <c r="C26" s="1229"/>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x14ac:dyDescent="0.35">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x14ac:dyDescent="0.35">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x14ac:dyDescent="0.35">
      <c r="B33" s="1226" t="s">
        <v>578</v>
      </c>
      <c r="C33" s="1227"/>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x14ac:dyDescent="0.35">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x14ac:dyDescent="0.35">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x14ac:dyDescent="0.35">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x14ac:dyDescent="0.35">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1228</v>
      </c>
    </row>
    <row r="38" spans="1:78" ht="30" customHeight="1" x14ac:dyDescent="0.35">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x14ac:dyDescent="0.35">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x14ac:dyDescent="0.35">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x14ac:dyDescent="0.35">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x14ac:dyDescent="0.35">
      <c r="B42" s="1226" t="s">
        <v>583</v>
      </c>
      <c r="C42" s="1227"/>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x14ac:dyDescent="0.35">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x14ac:dyDescent="0.35">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286.71096</v>
      </c>
      <c r="P44" s="698">
        <f t="shared" si="13"/>
        <v>116.09573240653509</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5"/>
      <c r="O47">
        <v>595.75266818970692</v>
      </c>
    </row>
    <row r="48" spans="1:78" x14ac:dyDescent="0.35">
      <c r="B48" s="695"/>
    </row>
    <row r="49" spans="2:2" x14ac:dyDescent="0.35">
      <c r="B49" s="695"/>
    </row>
    <row r="50" spans="2:2" x14ac:dyDescent="0.35">
      <c r="B50" s="695"/>
    </row>
    <row r="51" spans="2:2" x14ac:dyDescent="0.35">
      <c r="B51" s="695"/>
    </row>
    <row r="52" spans="2:2" x14ac:dyDescent="0.35">
      <c r="B52" s="695"/>
    </row>
    <row r="53" spans="2:2" x14ac:dyDescent="0.35">
      <c r="B53" s="695"/>
    </row>
    <row r="54" spans="2:2" x14ac:dyDescent="0.35">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1" zoomScale="61" zoomScaleNormal="80" workbookViewId="0">
      <selection activeCell="G16" sqref="G16"/>
    </sheetView>
  </sheetViews>
  <sheetFormatPr defaultColWidth="8.54296875" defaultRowHeight="14" x14ac:dyDescent="0.3"/>
  <cols>
    <col min="1" max="1" width="8.54296875" style="34"/>
    <col min="2" max="2" width="26.26953125" style="34" customWidth="1"/>
    <col min="3" max="5" width="8.54296875" style="34"/>
    <col min="6" max="6" width="9" style="34" customWidth="1"/>
    <col min="7" max="11" width="7.54296875" style="34" customWidth="1"/>
    <col min="12" max="12" width="8.54296875" style="34"/>
    <col min="13" max="13" width="8.54296875" style="34" customWidth="1"/>
    <col min="14" max="28" width="9.1796875" style="34" bestFit="1" customWidth="1"/>
    <col min="29" max="16384" width="8.54296875" style="34"/>
  </cols>
  <sheetData>
    <row r="1" spans="2:29" x14ac:dyDescent="0.3">
      <c r="B1" s="1152" t="s">
        <v>75</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15" customHeight="1" x14ac:dyDescent="0.3">
      <c r="B2" s="1153" t="s">
        <v>585</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ht="59.5" customHeight="1" x14ac:dyDescent="0.3">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ht="60.65" customHeight="1" x14ac:dyDescent="0.3">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29" x14ac:dyDescent="0.3">
      <c r="B5" s="132" t="s">
        <v>465</v>
      </c>
    </row>
    <row r="6" spans="2:29" ht="14.5" customHeight="1" x14ac:dyDescent="0.3">
      <c r="B6" s="1157" t="s">
        <v>558</v>
      </c>
      <c r="C6" s="1158"/>
      <c r="D6" s="1164" t="s">
        <v>401</v>
      </c>
      <c r="E6" s="1165"/>
      <c r="F6" s="1165"/>
      <c r="G6" s="1165"/>
      <c r="H6" s="1165"/>
      <c r="I6" s="1165"/>
      <c r="J6" s="1165"/>
      <c r="K6" s="1165"/>
      <c r="L6" s="1165"/>
      <c r="M6" s="1165"/>
      <c r="N6" s="1165"/>
      <c r="O6" s="1166"/>
      <c r="P6" s="1210" t="s">
        <v>402</v>
      </c>
      <c r="Q6" s="1211"/>
      <c r="R6" s="1211"/>
      <c r="S6" s="1211"/>
      <c r="T6" s="1211"/>
      <c r="U6" s="1211"/>
      <c r="V6" s="1211"/>
      <c r="W6" s="1211"/>
      <c r="X6" s="1211"/>
      <c r="Y6" s="1211"/>
      <c r="Z6" s="1211"/>
      <c r="AA6" s="1211"/>
      <c r="AB6" s="1211"/>
      <c r="AC6" s="1212"/>
    </row>
    <row r="7" spans="2:29" x14ac:dyDescent="0.3">
      <c r="B7" s="1159"/>
      <c r="C7" s="1223"/>
      <c r="D7" s="513">
        <v>2018</v>
      </c>
      <c r="E7" s="1235">
        <v>2019</v>
      </c>
      <c r="F7" s="1155"/>
      <c r="G7" s="1155"/>
      <c r="H7" s="1236"/>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2:29" x14ac:dyDescent="0.3">
      <c r="B8" s="1159"/>
      <c r="C8" s="1223"/>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x14ac:dyDescent="0.3">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740</v>
      </c>
      <c r="P9" s="912"/>
      <c r="Q9" s="912"/>
      <c r="R9" s="912"/>
      <c r="S9" s="657"/>
      <c r="T9" s="657"/>
      <c r="U9" s="657"/>
      <c r="V9" s="657"/>
      <c r="W9" s="657"/>
      <c r="X9" s="657"/>
      <c r="Y9" s="657"/>
      <c r="Z9" s="657"/>
      <c r="AA9" s="657"/>
      <c r="AB9" s="657"/>
      <c r="AC9" s="537"/>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28" x14ac:dyDescent="0.3">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0.71732567567567573</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x14ac:dyDescent="0.3">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0.71732567567567573</v>
      </c>
      <c r="P12" s="328">
        <f>O12</f>
        <v>0.71732567567567573</v>
      </c>
      <c r="Q12" s="328">
        <f>Q11+G44</f>
        <v>0.72507002419857947</v>
      </c>
      <c r="R12" s="328">
        <f>Q12</f>
        <v>0.72507002419857947</v>
      </c>
      <c r="S12" s="328">
        <f>S11+G44</f>
        <v>0.68076167469634841</v>
      </c>
      <c r="T12" s="328">
        <f>T11+H44</f>
        <v>0.67783203145622772</v>
      </c>
      <c r="U12" s="328">
        <f t="shared" si="1"/>
        <v>0.67783203145622772</v>
      </c>
      <c r="V12" s="328">
        <f t="shared" si="1"/>
        <v>0.67783203145622772</v>
      </c>
      <c r="W12" s="328">
        <f t="shared" si="1"/>
        <v>0.67783203145622772</v>
      </c>
      <c r="X12" s="328">
        <f t="shared" si="1"/>
        <v>0.67783203145622772</v>
      </c>
      <c r="Y12" s="328">
        <f t="shared" si="1"/>
        <v>0.67783203145622772</v>
      </c>
      <c r="Z12" s="328">
        <f t="shared" si="2"/>
        <v>0.67783203145622772</v>
      </c>
      <c r="AA12" s="328">
        <f t="shared" si="3"/>
        <v>0.67783203145622772</v>
      </c>
      <c r="AB12" s="328">
        <f t="shared" si="4"/>
        <v>0.67783203145622772</v>
      </c>
      <c r="AC12" s="609">
        <f t="shared" si="5"/>
        <v>0.67783203145622772</v>
      </c>
    </row>
    <row r="14" spans="2:29" x14ac:dyDescent="0.3">
      <c r="B14" s="51" t="s">
        <v>484</v>
      </c>
    </row>
    <row r="15" spans="2:29" ht="25" customHeight="1" x14ac:dyDescent="0.3">
      <c r="B15" s="325" t="s">
        <v>590</v>
      </c>
      <c r="C15" s="509">
        <v>2020</v>
      </c>
      <c r="D15" s="510">
        <v>2021</v>
      </c>
      <c r="E15" s="510">
        <v>2022</v>
      </c>
      <c r="F15" s="510">
        <v>2023</v>
      </c>
      <c r="G15" s="511">
        <v>2024</v>
      </c>
      <c r="H15" s="324"/>
      <c r="I15" s="324"/>
      <c r="J15" s="324"/>
    </row>
    <row r="16" spans="2:29" ht="31.5" customHeight="1" x14ac:dyDescent="0.3">
      <c r="B16" s="48" t="s">
        <v>591</v>
      </c>
      <c r="C16" s="506">
        <v>458.46800000000002</v>
      </c>
      <c r="D16" s="507">
        <v>519.15800000000002</v>
      </c>
      <c r="E16" s="507">
        <v>545.428</v>
      </c>
      <c r="F16" s="507">
        <v>512.61800000000005</v>
      </c>
      <c r="G16" s="508">
        <v>520</v>
      </c>
    </row>
    <row r="17" spans="2:29" x14ac:dyDescent="0.3">
      <c r="B17" s="41" t="s">
        <v>592</v>
      </c>
      <c r="C17" s="174">
        <f>AVERAGE(H11:K11)</f>
        <v>0.70973950480013093</v>
      </c>
      <c r="D17" s="323">
        <f>AVERAGE(L11:O11)</f>
        <v>0.7284130844721397</v>
      </c>
      <c r="E17" s="323">
        <f>AVERAGE(P11:S11)</f>
        <v>0.70592291262444218</v>
      </c>
      <c r="F17" s="323">
        <f>AVERAGE(T11:W11)</f>
        <v>0.67269165049776891</v>
      </c>
      <c r="G17" s="173">
        <f>F17</f>
        <v>0.67269165049776891</v>
      </c>
    </row>
    <row r="18" spans="2:29" x14ac:dyDescent="0.3">
      <c r="B18" s="41" t="s">
        <v>593</v>
      </c>
      <c r="C18" s="144">
        <f>C16/C17</f>
        <v>645.96657914527214</v>
      </c>
      <c r="D18" s="43">
        <f>D16/D17</f>
        <v>712.72470397236077</v>
      </c>
      <c r="E18" s="43">
        <f>E16/E17</f>
        <v>772.64527081609685</v>
      </c>
      <c r="F18" s="43">
        <f>F16/F17</f>
        <v>762.04008124774577</v>
      </c>
      <c r="G18" s="265">
        <f>G16/G17</f>
        <v>773.01390557652633</v>
      </c>
    </row>
    <row r="19" spans="2:29" ht="32.15" customHeight="1" x14ac:dyDescent="0.3">
      <c r="B19" s="148" t="s">
        <v>594</v>
      </c>
      <c r="C19" s="145"/>
      <c r="D19" s="182">
        <f>D18/C18-1</f>
        <v>0.10334609712381937</v>
      </c>
      <c r="E19" s="182">
        <v>5.6697556136369981E-2</v>
      </c>
      <c r="F19" s="182">
        <v>-5.1884558310648442E-2</v>
      </c>
      <c r="G19" s="167">
        <v>5.6207817464504109E-2</v>
      </c>
      <c r="I19" s="170"/>
      <c r="J19" s="170"/>
      <c r="K19" s="170"/>
      <c r="L19" s="170"/>
    </row>
    <row r="21" spans="2:29" x14ac:dyDescent="0.3">
      <c r="B21" s="51" t="s">
        <v>497</v>
      </c>
    </row>
    <row r="22" spans="2:29" x14ac:dyDescent="0.3">
      <c r="B22" s="1157" t="s">
        <v>595</v>
      </c>
      <c r="C22" s="1222"/>
      <c r="D22" s="1164" t="s">
        <v>401</v>
      </c>
      <c r="E22" s="1165"/>
      <c r="F22" s="1165"/>
      <c r="G22" s="1165"/>
      <c r="H22" s="1165"/>
      <c r="I22" s="1165"/>
      <c r="J22" s="1165"/>
      <c r="K22" s="1165"/>
      <c r="L22" s="1165"/>
      <c r="M22" s="1165"/>
      <c r="N22" s="1165"/>
      <c r="O22" s="1166"/>
      <c r="P22" s="1210" t="s">
        <v>402</v>
      </c>
      <c r="Q22" s="1211"/>
      <c r="R22" s="1211"/>
      <c r="S22" s="1211"/>
      <c r="T22" s="1211"/>
      <c r="U22" s="1211"/>
      <c r="V22" s="1211"/>
      <c r="W22" s="1211"/>
      <c r="X22" s="1211"/>
      <c r="Y22" s="1211"/>
      <c r="Z22" s="1211"/>
      <c r="AA22" s="1211"/>
      <c r="AB22" s="1211"/>
      <c r="AC22" s="1212"/>
    </row>
    <row r="23" spans="2:29" x14ac:dyDescent="0.3">
      <c r="B23" s="1159"/>
      <c r="C23" s="1223"/>
      <c r="D23" s="513">
        <v>2018</v>
      </c>
      <c r="E23" s="1235">
        <v>2019</v>
      </c>
      <c r="F23" s="1155"/>
      <c r="G23" s="1155"/>
      <c r="H23" s="1236"/>
      <c r="I23" s="1154">
        <v>2020</v>
      </c>
      <c r="J23" s="1155"/>
      <c r="K23" s="1155"/>
      <c r="L23" s="1156"/>
      <c r="M23" s="1154">
        <v>2021</v>
      </c>
      <c r="N23" s="1155"/>
      <c r="O23" s="1156"/>
      <c r="P23" s="545">
        <v>2021</v>
      </c>
      <c r="Q23" s="1233">
        <v>2022</v>
      </c>
      <c r="R23" s="1234"/>
      <c r="S23" s="1234"/>
      <c r="T23" s="1234"/>
      <c r="U23" s="1233">
        <v>2023</v>
      </c>
      <c r="V23" s="1234"/>
      <c r="W23" s="1234"/>
      <c r="X23" s="1234"/>
      <c r="Y23" s="1161">
        <v>2024</v>
      </c>
      <c r="Z23" s="1162"/>
      <c r="AA23" s="1162"/>
      <c r="AB23" s="1162"/>
      <c r="AC23" s="322">
        <v>2025</v>
      </c>
    </row>
    <row r="24" spans="2:29" x14ac:dyDescent="0.3">
      <c r="B24" s="1193"/>
      <c r="C24" s="1224"/>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x14ac:dyDescent="0.35">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740</v>
      </c>
      <c r="P25" s="634">
        <f>O25*(1+$E$19)^0.25</f>
        <v>750.27313417313019</v>
      </c>
      <c r="Q25" s="634">
        <f>P25*(1+$E$19)^0.25</f>
        <v>760.68888629996195</v>
      </c>
      <c r="R25" s="634">
        <f>Q25*(1+$E$19)^0.25</f>
        <v>771.24923629045986</v>
      </c>
      <c r="S25" s="634">
        <f>R25*(1+$E$19)^0.25</f>
        <v>781.95619154091401</v>
      </c>
      <c r="T25" s="634">
        <f>S25*(1+$F$19)^0.25</f>
        <v>771.60978730291697</v>
      </c>
      <c r="U25" s="634">
        <f>T25*(1+$F$19)^0.25</f>
        <v>761.40028086279415</v>
      </c>
      <c r="V25" s="634">
        <f>U25*(1+$F$19)^0.25</f>
        <v>751.32586086593074</v>
      </c>
      <c r="W25" s="634">
        <f>V25*(1+$F$19)^0.25</f>
        <v>741.3847399245368</v>
      </c>
      <c r="X25" s="634">
        <f t="shared" ref="X25:AC25" si="9">W25*(1+$G$19)^0.25</f>
        <v>751.58998941094046</v>
      </c>
      <c r="Y25" s="634">
        <f t="shared" si="9"/>
        <v>761.93571537530659</v>
      </c>
      <c r="Z25" s="634">
        <f t="shared" si="9"/>
        <v>772.42385149313111</v>
      </c>
      <c r="AA25" s="634">
        <f t="shared" si="9"/>
        <v>783.05635805718384</v>
      </c>
      <c r="AB25" s="634">
        <f t="shared" si="9"/>
        <v>793.83522234389898</v>
      </c>
      <c r="AC25" s="916">
        <f t="shared" si="9"/>
        <v>804.76245898480795</v>
      </c>
    </row>
    <row r="26" spans="2:29" ht="19" customHeight="1" x14ac:dyDescent="0.35">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 t="shared" si="11"/>
        <v>538.19018291204748</v>
      </c>
      <c r="Q26" s="326">
        <f t="shared" si="11"/>
        <v>551.55270919710392</v>
      </c>
      <c r="R26" s="326">
        <f t="shared" si="11"/>
        <v>559.20970242025965</v>
      </c>
      <c r="S26" s="326">
        <f t="shared" si="11"/>
        <v>532.32580649257125</v>
      </c>
      <c r="T26" s="326">
        <f t="shared" si="11"/>
        <v>523.02182961904396</v>
      </c>
      <c r="U26" s="326">
        <f t="shared" si="11"/>
        <v>516.10149912857014</v>
      </c>
      <c r="V26" s="326">
        <f t="shared" si="11"/>
        <v>509.27273455635293</v>
      </c>
      <c r="W26" s="326">
        <f t="shared" si="11"/>
        <v>502.53432435369587</v>
      </c>
      <c r="X26" s="326">
        <f t="shared" si="11"/>
        <v>509.45176934458243</v>
      </c>
      <c r="Y26" s="326">
        <f t="shared" si="11"/>
        <v>516.46443379189816</v>
      </c>
      <c r="Z26" s="326">
        <f t="shared" si="11"/>
        <v>523.57362840283258</v>
      </c>
      <c r="AA26" s="326">
        <f t="shared" si="11"/>
        <v>530.78068192661613</v>
      </c>
      <c r="AB26" s="326">
        <f t="shared" si="11"/>
        <v>538.08694140287128</v>
      </c>
      <c r="AC26" s="327">
        <f t="shared" si="11"/>
        <v>545.49377241338152</v>
      </c>
    </row>
    <row r="27" spans="2:29" ht="19" customHeight="1" x14ac:dyDescent="0.3">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209.17899999999997</v>
      </c>
      <c r="P27" s="632">
        <f t="shared" si="13"/>
        <v>212.08295126108271</v>
      </c>
      <c r="Q27" s="632">
        <f t="shared" si="13"/>
        <v>209.13617710285803</v>
      </c>
      <c r="R27" s="632">
        <f t="shared" si="13"/>
        <v>212.03953387020022</v>
      </c>
      <c r="S27" s="632">
        <f t="shared" si="13"/>
        <v>249.63038504834276</v>
      </c>
      <c r="T27" s="632">
        <f t="shared" si="13"/>
        <v>248.58795768387301</v>
      </c>
      <c r="U27" s="632">
        <f t="shared" si="13"/>
        <v>245.29878173422401</v>
      </c>
      <c r="V27" s="632">
        <f t="shared" si="13"/>
        <v>242.05312630957781</v>
      </c>
      <c r="W27" s="632">
        <f t="shared" si="13"/>
        <v>238.85041557084094</v>
      </c>
      <c r="X27" s="632">
        <f t="shared" si="13"/>
        <v>242.13822006635803</v>
      </c>
      <c r="Y27" s="632">
        <f t="shared" si="13"/>
        <v>245.47128158340843</v>
      </c>
      <c r="Z27" s="632">
        <f t="shared" si="13"/>
        <v>248.85022309029853</v>
      </c>
      <c r="AA27" s="632">
        <f t="shared" si="13"/>
        <v>252.27567613056772</v>
      </c>
      <c r="AB27" s="632">
        <f t="shared" si="13"/>
        <v>255.7482809410277</v>
      </c>
      <c r="AC27" s="633">
        <f t="shared" si="13"/>
        <v>259.26868657142643</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x14ac:dyDescent="0.3">
      <c r="B33" s="1230" t="s">
        <v>599</v>
      </c>
      <c r="C33" s="1231"/>
      <c r="D33" s="1231"/>
      <c r="E33" s="1232"/>
      <c r="F33" s="43">
        <v>287</v>
      </c>
      <c r="G33" s="43">
        <v>534</v>
      </c>
      <c r="H33" s="43">
        <v>247</v>
      </c>
      <c r="I33" s="43">
        <v>63</v>
      </c>
      <c r="J33" s="43"/>
      <c r="K33" s="43"/>
      <c r="L33" s="43"/>
      <c r="M33" s="43"/>
      <c r="N33" s="43"/>
      <c r="O33" s="43"/>
      <c r="P33" s="265"/>
    </row>
    <row r="34" spans="2:17" x14ac:dyDescent="0.3">
      <c r="B34" s="1230" t="s">
        <v>600</v>
      </c>
      <c r="C34" s="1231"/>
      <c r="D34" s="1231"/>
      <c r="E34" s="1232"/>
      <c r="F34" s="43">
        <v>0</v>
      </c>
      <c r="G34" s="43">
        <v>0</v>
      </c>
      <c r="H34" s="43">
        <v>756</v>
      </c>
      <c r="I34" s="43">
        <v>1249</v>
      </c>
      <c r="J34" s="43">
        <v>1417</v>
      </c>
      <c r="K34" s="43">
        <v>1522</v>
      </c>
      <c r="L34" s="43">
        <v>1107</v>
      </c>
      <c r="M34" s="43"/>
      <c r="N34" s="43"/>
      <c r="O34" s="43"/>
      <c r="P34" s="265"/>
    </row>
    <row r="35" spans="2:17" x14ac:dyDescent="0.3">
      <c r="B35" s="1230" t="s">
        <v>601</v>
      </c>
      <c r="C35" s="1231"/>
      <c r="D35" s="1231"/>
      <c r="E35" s="1232"/>
      <c r="F35" s="43">
        <v>0</v>
      </c>
      <c r="G35" s="43">
        <v>5</v>
      </c>
      <c r="H35" s="43">
        <v>77</v>
      </c>
      <c r="I35" s="43">
        <v>307</v>
      </c>
      <c r="J35" s="43">
        <v>332</v>
      </c>
      <c r="K35" s="43">
        <v>270</v>
      </c>
      <c r="L35" s="43">
        <v>25</v>
      </c>
      <c r="M35" s="43">
        <v>32</v>
      </c>
      <c r="N35" s="43">
        <v>40</v>
      </c>
      <c r="O35" s="43">
        <v>49</v>
      </c>
      <c r="P35" s="265">
        <v>58</v>
      </c>
    </row>
    <row r="36" spans="2:17" ht="32.5" customHeight="1" x14ac:dyDescent="0.3">
      <c r="B36" s="1246" t="s">
        <v>602</v>
      </c>
      <c r="C36" s="1247"/>
      <c r="D36" s="1247"/>
      <c r="E36" s="1248"/>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246" t="s">
        <v>603</v>
      </c>
      <c r="C37" s="1247"/>
      <c r="D37" s="1247"/>
      <c r="E37" s="1248"/>
      <c r="F37" s="43">
        <v>38</v>
      </c>
      <c r="G37" s="43">
        <v>81</v>
      </c>
      <c r="H37" s="43">
        <v>43</v>
      </c>
      <c r="I37" s="43"/>
      <c r="J37" s="43"/>
      <c r="K37" s="43"/>
      <c r="L37" s="43"/>
      <c r="M37" s="43"/>
      <c r="N37" s="43"/>
      <c r="O37" s="43"/>
      <c r="P37" s="265"/>
    </row>
    <row r="38" spans="2:17" x14ac:dyDescent="0.3">
      <c r="B38" s="1230" t="s">
        <v>604</v>
      </c>
      <c r="C38" s="1231"/>
      <c r="D38" s="1231"/>
      <c r="E38" s="1232"/>
      <c r="F38" s="43"/>
      <c r="G38" s="43"/>
      <c r="H38" s="43"/>
      <c r="I38" s="43">
        <v>-184</v>
      </c>
      <c r="J38" s="43">
        <v>-1830</v>
      </c>
      <c r="K38" s="43">
        <v>-2406</v>
      </c>
      <c r="L38" s="43">
        <v>-2419</v>
      </c>
      <c r="M38" s="43">
        <v>-2467</v>
      </c>
      <c r="N38" s="43">
        <v>-2531</v>
      </c>
      <c r="O38" s="43">
        <v>-2667</v>
      </c>
      <c r="P38" s="265">
        <v>-2809</v>
      </c>
    </row>
    <row r="39" spans="2:17" ht="15.65" customHeight="1" x14ac:dyDescent="0.3">
      <c r="B39" s="1240" t="s">
        <v>605</v>
      </c>
      <c r="C39" s="1241"/>
      <c r="D39" s="1241"/>
      <c r="E39" s="1242"/>
      <c r="F39" s="43">
        <v>6524</v>
      </c>
      <c r="G39" s="43">
        <v>6143</v>
      </c>
      <c r="H39" s="43"/>
      <c r="I39" s="43"/>
      <c r="J39" s="43"/>
      <c r="K39" s="43"/>
      <c r="L39" s="43"/>
      <c r="M39" s="43"/>
      <c r="N39" s="43"/>
      <c r="O39" s="43"/>
      <c r="P39" s="265"/>
    </row>
    <row r="40" spans="2:17" x14ac:dyDescent="0.3">
      <c r="B40" s="1230" t="s">
        <v>606</v>
      </c>
      <c r="C40" s="1231"/>
      <c r="D40" s="1231"/>
      <c r="E40" s="1232"/>
      <c r="F40" s="43">
        <v>50</v>
      </c>
      <c r="G40" s="43">
        <v>175</v>
      </c>
      <c r="H40" s="43">
        <v>25</v>
      </c>
      <c r="I40" s="43"/>
      <c r="J40" s="43"/>
      <c r="K40" s="43"/>
      <c r="L40" s="43"/>
      <c r="M40" s="43"/>
      <c r="N40" s="43"/>
      <c r="O40" s="43"/>
      <c r="P40" s="265"/>
    </row>
    <row r="41" spans="2:17" x14ac:dyDescent="0.3">
      <c r="B41" s="1230" t="s">
        <v>607</v>
      </c>
      <c r="C41" s="1231"/>
      <c r="D41" s="1231"/>
      <c r="E41" s="1232"/>
      <c r="F41" s="43">
        <v>829</v>
      </c>
      <c r="G41" s="43">
        <v>844</v>
      </c>
      <c r="H41" s="43"/>
      <c r="I41" s="43"/>
      <c r="J41" s="43"/>
      <c r="K41" s="43"/>
      <c r="L41" s="43"/>
      <c r="M41" s="43"/>
      <c r="N41" s="43"/>
      <c r="O41" s="43"/>
      <c r="P41" s="265"/>
    </row>
    <row r="42" spans="2:17" x14ac:dyDescent="0.3">
      <c r="B42" s="1243" t="s">
        <v>608</v>
      </c>
      <c r="C42" s="1244"/>
      <c r="D42" s="1244"/>
      <c r="E42" s="1245"/>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240" t="s">
        <v>609</v>
      </c>
      <c r="C43" s="1241"/>
      <c r="D43" s="1241"/>
      <c r="E43" s="1242"/>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30" t="s">
        <v>611</v>
      </c>
      <c r="C44" s="1231"/>
      <c r="D44" s="1231"/>
      <c r="E44" s="1232"/>
      <c r="F44" s="43">
        <f>(F43/1000)/M25</f>
        <v>9.4295157350194007E-3</v>
      </c>
      <c r="G44" s="43">
        <f>(G43/1000)/R25</f>
        <v>8.0700241985795403E-3</v>
      </c>
      <c r="H44" s="43">
        <f>(H43/1000)/W25</f>
        <v>5.140380958458775E-3</v>
      </c>
      <c r="I44" s="43">
        <f>(I43/1000)/X25</f>
        <v>4.5609974165391675E-3</v>
      </c>
      <c r="J44" s="43"/>
      <c r="K44" s="43"/>
      <c r="L44" s="43"/>
      <c r="M44" s="43"/>
      <c r="N44" s="43"/>
      <c r="O44" s="43"/>
      <c r="P44" s="265"/>
      <c r="Q44" s="34" t="s">
        <v>612</v>
      </c>
    </row>
    <row r="45" spans="2:17" x14ac:dyDescent="0.3">
      <c r="B45" s="1237" t="s">
        <v>613</v>
      </c>
      <c r="C45" s="1238"/>
      <c r="D45" s="1238"/>
      <c r="E45" s="1239"/>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 ref="B34:E34"/>
    <mergeCell ref="B35:E35"/>
    <mergeCell ref="B33:E33"/>
    <mergeCell ref="P22:AC22"/>
    <mergeCell ref="Y23:AB23"/>
    <mergeCell ref="I23:L23"/>
    <mergeCell ref="Q23:T23"/>
    <mergeCell ref="M23:O23"/>
    <mergeCell ref="B22:C24"/>
    <mergeCell ref="D22:O22"/>
    <mergeCell ref="E23:H23"/>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52" t="s">
        <v>76</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15" customHeight="1" x14ac:dyDescent="0.3">
      <c r="B2" s="1153" t="s">
        <v>614</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x14ac:dyDescent="0.3">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x14ac:dyDescent="0.3">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6" spans="2:29" x14ac:dyDescent="0.3">
      <c r="B6" s="51" t="s">
        <v>465</v>
      </c>
    </row>
    <row r="7" spans="2:29" ht="14.5" customHeight="1" x14ac:dyDescent="0.3">
      <c r="B7" s="1157" t="s">
        <v>558</v>
      </c>
      <c r="C7" s="1222"/>
      <c r="D7" s="1164" t="s">
        <v>401</v>
      </c>
      <c r="E7" s="1165"/>
      <c r="F7" s="1165"/>
      <c r="G7" s="1165"/>
      <c r="H7" s="1165"/>
      <c r="I7" s="1165"/>
      <c r="J7" s="1165"/>
      <c r="K7" s="1165"/>
      <c r="L7" s="1165"/>
      <c r="M7" s="1165"/>
      <c r="N7" s="1165"/>
      <c r="O7" s="1166"/>
      <c r="P7" s="1210" t="s">
        <v>402</v>
      </c>
      <c r="Q7" s="1211"/>
      <c r="R7" s="1211"/>
      <c r="S7" s="1211"/>
      <c r="T7" s="1211"/>
      <c r="U7" s="1211"/>
      <c r="V7" s="1211"/>
      <c r="W7" s="1211"/>
      <c r="X7" s="1211"/>
      <c r="Y7" s="1211"/>
      <c r="Z7" s="1211"/>
      <c r="AA7" s="1211"/>
      <c r="AB7" s="1211"/>
      <c r="AC7" s="1212"/>
    </row>
    <row r="8" spans="2:29" x14ac:dyDescent="0.3">
      <c r="B8" s="1159"/>
      <c r="C8" s="1223"/>
      <c r="D8" s="513">
        <v>2018</v>
      </c>
      <c r="E8" s="1154">
        <v>2019</v>
      </c>
      <c r="F8" s="1155"/>
      <c r="G8" s="1155"/>
      <c r="H8" s="1156"/>
      <c r="I8" s="1154">
        <v>2020</v>
      </c>
      <c r="J8" s="1155"/>
      <c r="K8" s="1155"/>
      <c r="L8" s="1156"/>
      <c r="M8" s="1154">
        <v>2021</v>
      </c>
      <c r="N8" s="1155"/>
      <c r="O8" s="1156"/>
      <c r="P8" s="545">
        <v>2021</v>
      </c>
      <c r="Q8" s="1161">
        <v>2022</v>
      </c>
      <c r="R8" s="1162"/>
      <c r="S8" s="1162"/>
      <c r="T8" s="1163"/>
      <c r="U8" s="1161">
        <v>2023</v>
      </c>
      <c r="V8" s="1162"/>
      <c r="W8" s="1162"/>
      <c r="X8" s="1162"/>
      <c r="Y8" s="1161">
        <v>2024</v>
      </c>
      <c r="Z8" s="1162"/>
      <c r="AA8" s="1162"/>
      <c r="AB8" s="1163"/>
      <c r="AC8" s="322">
        <v>2025</v>
      </c>
    </row>
    <row r="9" spans="2:29" x14ac:dyDescent="0.3">
      <c r="B9" s="1159"/>
      <c r="C9" s="1223"/>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ht="14.5" x14ac:dyDescent="0.35">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x14ac:dyDescent="0.3">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x14ac:dyDescent="0.3">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x14ac:dyDescent="0.3">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x14ac:dyDescent="0.3">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x14ac:dyDescent="0.3">
      <c r="B17" s="51" t="s">
        <v>484</v>
      </c>
    </row>
    <row r="18" spans="2:17" x14ac:dyDescent="0.3">
      <c r="B18" s="469" t="s">
        <v>590</v>
      </c>
      <c r="C18" s="469">
        <v>2019</v>
      </c>
      <c r="D18" s="470">
        <v>2020</v>
      </c>
      <c r="E18" s="470">
        <v>2021</v>
      </c>
      <c r="F18" s="470">
        <v>2022</v>
      </c>
      <c r="G18" s="470">
        <v>2023</v>
      </c>
      <c r="H18" s="471">
        <v>2024</v>
      </c>
      <c r="I18" s="471">
        <v>2025</v>
      </c>
      <c r="J18" s="471">
        <v>2026</v>
      </c>
    </row>
    <row r="19" spans="2:17" ht="21" customHeight="1" x14ac:dyDescent="0.3">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x14ac:dyDescent="0.3">
      <c r="B20" s="41" t="s">
        <v>623</v>
      </c>
      <c r="C20" s="41"/>
      <c r="D20" s="34">
        <v>47</v>
      </c>
      <c r="E20" s="34">
        <v>-46</v>
      </c>
      <c r="J20" s="40"/>
      <c r="N20" s="402"/>
      <c r="O20" s="227"/>
      <c r="P20" s="227"/>
      <c r="Q20" s="227"/>
    </row>
    <row r="21" spans="2:17" x14ac:dyDescent="0.3">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x14ac:dyDescent="0.3">
      <c r="B22" s="41" t="s">
        <v>626</v>
      </c>
      <c r="C22" s="478">
        <f>AVERAGE(D10:G10)</f>
        <v>773.92499999999995</v>
      </c>
      <c r="D22" s="171">
        <f>AVERAGE(H10:K10)</f>
        <v>814.3</v>
      </c>
      <c r="E22" s="472"/>
      <c r="J22" s="40"/>
      <c r="K22" s="34" t="s">
        <v>627</v>
      </c>
    </row>
    <row r="23" spans="2:17" x14ac:dyDescent="0.3">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x14ac:dyDescent="0.3">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15" customFormat="1" ht="47.5" customHeight="1" x14ac:dyDescent="0.35">
      <c r="A1" s="524" t="s">
        <v>43</v>
      </c>
      <c r="B1" s="525" t="s">
        <v>44</v>
      </c>
      <c r="C1" s="525" t="s">
        <v>45</v>
      </c>
      <c r="D1" s="525" t="s">
        <v>46</v>
      </c>
      <c r="E1" s="525" t="s">
        <v>47</v>
      </c>
      <c r="F1" s="526" t="s">
        <v>48</v>
      </c>
    </row>
    <row r="2" spans="1:7" s="515" customFormat="1" ht="16.5" customHeight="1" x14ac:dyDescent="0.35">
      <c r="A2" s="516" t="s">
        <v>49</v>
      </c>
      <c r="B2" s="517"/>
      <c r="C2" s="518"/>
      <c r="D2" s="518"/>
      <c r="E2" s="518"/>
      <c r="F2" s="518"/>
    </row>
    <row r="3" spans="1:7" s="519" customFormat="1" ht="75.650000000000006" customHeight="1" x14ac:dyDescent="0.35">
      <c r="A3" s="520" t="s">
        <v>50</v>
      </c>
      <c r="B3" s="520" t="s">
        <v>51</v>
      </c>
      <c r="C3" s="520" t="s">
        <v>52</v>
      </c>
      <c r="D3" s="519" t="s">
        <v>104</v>
      </c>
    </row>
    <row r="4" spans="1:7" s="519" customFormat="1" ht="61.5" customHeight="1" x14ac:dyDescent="0.35">
      <c r="A4" s="519" t="s">
        <v>53</v>
      </c>
      <c r="B4" s="520" t="s">
        <v>54</v>
      </c>
      <c r="C4" s="520" t="s">
        <v>55</v>
      </c>
      <c r="D4" s="519" t="s">
        <v>104</v>
      </c>
    </row>
    <row r="5" spans="1:7" s="519" customFormat="1" ht="61.5" customHeight="1" x14ac:dyDescent="0.35">
      <c r="A5" s="519" t="s">
        <v>56</v>
      </c>
      <c r="B5" s="520" t="s">
        <v>57</v>
      </c>
      <c r="C5" s="520" t="s">
        <v>58</v>
      </c>
      <c r="D5" s="519" t="s">
        <v>104</v>
      </c>
    </row>
    <row r="6" spans="1:7" s="519" customFormat="1" ht="63.65" customHeight="1" x14ac:dyDescent="0.35">
      <c r="A6" s="519" t="s">
        <v>59</v>
      </c>
      <c r="B6" s="520" t="s">
        <v>60</v>
      </c>
      <c r="C6" s="521" t="s">
        <v>61</v>
      </c>
      <c r="D6" s="519" t="s">
        <v>104</v>
      </c>
      <c r="E6" s="620" t="s">
        <v>1209</v>
      </c>
      <c r="G6" s="596"/>
    </row>
    <row r="7" spans="1:7" s="519" customFormat="1" ht="61.5" customHeight="1" x14ac:dyDescent="0.35">
      <c r="A7" s="519" t="s">
        <v>62</v>
      </c>
      <c r="B7" s="520" t="s">
        <v>63</v>
      </c>
      <c r="C7" s="520" t="s">
        <v>1219</v>
      </c>
    </row>
    <row r="8" spans="1:7" s="519" customFormat="1" ht="54" customHeight="1" x14ac:dyDescent="0.35">
      <c r="A8" s="519" t="s">
        <v>64</v>
      </c>
      <c r="B8" s="520" t="s">
        <v>65</v>
      </c>
      <c r="C8" s="519" t="s">
        <v>66</v>
      </c>
    </row>
    <row r="9" spans="1:7" s="519" customFormat="1" ht="43" customHeight="1" x14ac:dyDescent="0.35">
      <c r="A9" s="516" t="s">
        <v>67</v>
      </c>
      <c r="B9" s="522"/>
      <c r="C9" s="523"/>
      <c r="D9" s="523"/>
      <c r="E9" s="518" t="s">
        <v>68</v>
      </c>
      <c r="F9" s="523"/>
    </row>
    <row r="10" spans="1:7" s="1" customFormat="1"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1" t="s">
        <v>78</v>
      </c>
      <c r="B20" s="25" t="e">
        <f>#REF!</f>
        <v>#REF!</v>
      </c>
    </row>
    <row r="21" spans="1:6" s="1" customFormat="1"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7" t="s">
        <v>80</v>
      </c>
      <c r="B22" s="25" t="s">
        <v>81</v>
      </c>
    </row>
    <row r="23" spans="1:6" s="1" customFormat="1" ht="36" customHeight="1" x14ac:dyDescent="0.35">
      <c r="A23" s="48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52" t="s">
        <v>77</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1:29" ht="14.5" customHeight="1" x14ac:dyDescent="0.35">
      <c r="B2" s="1153" t="s">
        <v>630</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1:29" x14ac:dyDescent="0.35">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1:29" x14ac:dyDescent="0.35">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57" t="s">
        <v>558</v>
      </c>
      <c r="C6" s="1158"/>
      <c r="D6" s="1164" t="s">
        <v>401</v>
      </c>
      <c r="E6" s="1165"/>
      <c r="F6" s="1165"/>
      <c r="G6" s="1165"/>
      <c r="H6" s="1165"/>
      <c r="I6" s="1165"/>
      <c r="J6" s="1165"/>
      <c r="K6" s="1165"/>
      <c r="L6" s="1165"/>
      <c r="M6" s="1165"/>
      <c r="N6" s="1165"/>
      <c r="O6" s="1166"/>
      <c r="P6" s="1210" t="s">
        <v>402</v>
      </c>
      <c r="Q6" s="1211"/>
      <c r="R6" s="1211"/>
      <c r="S6" s="1211"/>
      <c r="T6" s="1211"/>
      <c r="U6" s="1211"/>
      <c r="V6" s="1211"/>
      <c r="W6" s="1211"/>
      <c r="X6" s="1211"/>
      <c r="Y6" s="1211"/>
      <c r="Z6" s="1211"/>
      <c r="AA6" s="1211"/>
      <c r="AB6" s="1211"/>
      <c r="AC6" s="1212"/>
    </row>
    <row r="7" spans="1:29" x14ac:dyDescent="0.35">
      <c r="B7" s="1159"/>
      <c r="C7" s="1160"/>
      <c r="D7" s="513">
        <v>2018</v>
      </c>
      <c r="E7" s="1154">
        <v>2019</v>
      </c>
      <c r="F7" s="1155"/>
      <c r="G7" s="1155"/>
      <c r="H7" s="1156"/>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1:29" x14ac:dyDescent="0.35">
      <c r="B8" s="1193"/>
      <c r="C8" s="1194"/>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x14ac:dyDescent="0.35">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x14ac:dyDescent="0.35">
      <c r="B10" s="138" t="s">
        <v>258</v>
      </c>
      <c r="C10" s="139"/>
      <c r="D10" s="138"/>
      <c r="E10" s="139"/>
      <c r="F10" s="139"/>
      <c r="G10" s="139"/>
      <c r="H10" s="139"/>
      <c r="I10" s="139"/>
      <c r="J10" s="559"/>
      <c r="K10" s="559"/>
      <c r="L10" s="559"/>
      <c r="M10" s="559">
        <f>M9-M11</f>
        <v>1348.1</v>
      </c>
      <c r="N10" s="559">
        <f>N9-N11</f>
        <v>290.10000000000002</v>
      </c>
      <c r="O10" s="970">
        <f>O9-O11</f>
        <v>38.9</v>
      </c>
      <c r="P10" s="415"/>
      <c r="Q10" s="415">
        <f>'ARP Score'!B6*4/2 -20</f>
        <v>14.93</v>
      </c>
      <c r="R10" s="415">
        <f>'ARP Score'!B6*4/2-20</f>
        <v>14.93</v>
      </c>
      <c r="S10" s="415"/>
      <c r="T10" s="415"/>
      <c r="U10" s="415"/>
      <c r="V10" s="415"/>
      <c r="W10" s="415"/>
      <c r="X10" s="415"/>
      <c r="Y10" s="415"/>
      <c r="Z10" s="415"/>
      <c r="AA10" s="415"/>
      <c r="AB10" s="415"/>
      <c r="AC10" s="614"/>
    </row>
    <row r="11" spans="1:29" x14ac:dyDescent="0.35">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x14ac:dyDescent="0.35">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x14ac:dyDescent="0.35">
      <c r="A13" s="963"/>
      <c r="B13" s="963"/>
      <c r="C13" s="963"/>
      <c r="D13" s="963"/>
      <c r="E13" s="963"/>
      <c r="F13" s="963"/>
      <c r="G13" s="963"/>
      <c r="H13" s="963"/>
      <c r="I13" s="963"/>
      <c r="J13" s="963"/>
      <c r="K13" s="963"/>
      <c r="L13" s="297"/>
      <c r="M13" s="297"/>
      <c r="N13" s="297"/>
      <c r="T13" s="34"/>
      <c r="U13" s="34"/>
      <c r="V13" s="34"/>
      <c r="W13" s="34"/>
      <c r="X13" s="34"/>
      <c r="Y13" s="34"/>
    </row>
    <row r="14" spans="1:29" x14ac:dyDescent="0.35">
      <c r="A14" s="271"/>
      <c r="N14" s="962"/>
      <c r="O14" s="962"/>
      <c r="P14" s="962"/>
      <c r="Q14" s="962"/>
      <c r="R14" s="962"/>
      <c r="S14" s="962"/>
      <c r="T14" s="34"/>
      <c r="U14" s="34"/>
      <c r="V14" s="34"/>
      <c r="W14" s="34"/>
      <c r="X14" s="34"/>
      <c r="Y14" s="34"/>
    </row>
    <row r="15" spans="1:29" x14ac:dyDescent="0.35">
      <c r="A15" s="213"/>
      <c r="B15" s="1249" t="s">
        <v>633</v>
      </c>
      <c r="C15" s="1186">
        <v>2021</v>
      </c>
      <c r="D15" s="1187"/>
      <c r="E15" s="1187"/>
      <c r="F15" s="1187"/>
      <c r="G15" s="411"/>
      <c r="K15" s="1251"/>
      <c r="L15" s="1251"/>
      <c r="M15" s="1251"/>
      <c r="N15" s="1251"/>
      <c r="O15" s="1251"/>
      <c r="P15" s="1251"/>
      <c r="Q15" s="34"/>
      <c r="R15" s="34"/>
      <c r="S15" s="34"/>
      <c r="T15" s="34"/>
      <c r="U15" s="34"/>
      <c r="V15" s="34"/>
    </row>
    <row r="16" spans="1:29" x14ac:dyDescent="0.35">
      <c r="B16" s="1250"/>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6.5" x14ac:dyDescent="0.35">
      <c r="B17" s="299" t="s">
        <v>634</v>
      </c>
      <c r="C17" s="413">
        <v>1660.9</v>
      </c>
      <c r="D17" s="413">
        <v>95.9</v>
      </c>
      <c r="E17" s="413">
        <v>4044.2</v>
      </c>
      <c r="F17" s="414">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A13" zoomScale="70" zoomScaleNormal="70" workbookViewId="0">
      <selection activeCell="K28" sqref="K28"/>
    </sheetView>
  </sheetViews>
  <sheetFormatPr defaultRowHeight="14" x14ac:dyDescent="0.3"/>
  <cols>
    <col min="1" max="1" width="8.7265625" style="34"/>
    <col min="2" max="2" width="37.36328125" style="34" customWidth="1"/>
    <col min="3" max="16384" width="8.7265625" style="34"/>
  </cols>
  <sheetData>
    <row r="1" spans="2:29" ht="18" customHeight="1" x14ac:dyDescent="0.3">
      <c r="B1" s="1261" t="s">
        <v>636</v>
      </c>
      <c r="C1" s="1261"/>
      <c r="D1" s="1261"/>
      <c r="E1" s="1261"/>
      <c r="F1" s="1261"/>
      <c r="G1" s="1261"/>
      <c r="H1" s="1261"/>
      <c r="I1" s="1261"/>
      <c r="J1" s="1261"/>
      <c r="K1" s="1261"/>
      <c r="L1" s="1261"/>
      <c r="M1" s="1261"/>
      <c r="N1" s="1261"/>
      <c r="O1" s="1261"/>
      <c r="P1" s="1261"/>
      <c r="Q1" s="1261"/>
      <c r="R1" s="1261"/>
      <c r="S1" s="1261"/>
      <c r="T1" s="1261"/>
      <c r="U1" s="1261"/>
      <c r="V1" s="1261"/>
      <c r="W1" s="1261"/>
      <c r="X1" s="1261"/>
      <c r="Y1" s="1261"/>
      <c r="Z1" s="1261"/>
      <c r="AA1" s="1261"/>
      <c r="AB1" s="1261"/>
      <c r="AC1" s="1261"/>
    </row>
    <row r="2" spans="2:29" ht="82" customHeight="1" x14ac:dyDescent="0.3">
      <c r="B2" s="1171" t="s">
        <v>637</v>
      </c>
      <c r="C2" s="1171"/>
      <c r="D2" s="1171"/>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2:29" ht="3" customHeight="1" x14ac:dyDescent="0.3">
      <c r="B3" s="1171"/>
      <c r="C3" s="1171"/>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2:29" ht="10" hidden="1" customHeight="1" x14ac:dyDescent="0.3">
      <c r="B4" s="1171"/>
      <c r="C4" s="1171"/>
      <c r="D4" s="1171"/>
      <c r="E4" s="1171"/>
      <c r="F4" s="1171"/>
      <c r="G4" s="1171"/>
      <c r="H4" s="1171"/>
      <c r="I4" s="1171"/>
      <c r="J4" s="1171"/>
      <c r="K4" s="1171"/>
      <c r="L4" s="1171"/>
      <c r="M4" s="1171"/>
      <c r="N4" s="1171"/>
      <c r="O4" s="1171"/>
      <c r="P4" s="1171"/>
      <c r="Q4" s="1171"/>
      <c r="R4" s="1171"/>
      <c r="S4" s="1171"/>
      <c r="T4" s="1171"/>
      <c r="U4" s="1171"/>
      <c r="V4" s="1171"/>
      <c r="W4" s="1171"/>
      <c r="X4" s="1171"/>
      <c r="Y4" s="1171"/>
      <c r="Z4" s="1171"/>
      <c r="AA4" s="1171"/>
      <c r="AB4" s="1171"/>
      <c r="AC4" s="1171"/>
    </row>
    <row r="5" spans="2:29" ht="14.15" hidden="1" customHeight="1" x14ac:dyDescent="0.3">
      <c r="B5" s="1171"/>
      <c r="C5" s="1171"/>
      <c r="D5" s="1171"/>
      <c r="E5" s="1171"/>
      <c r="F5" s="1171"/>
      <c r="G5" s="1171"/>
      <c r="H5" s="1171"/>
      <c r="I5" s="1171"/>
      <c r="J5" s="1171"/>
      <c r="K5" s="1171"/>
      <c r="L5" s="1171"/>
      <c r="M5" s="1171"/>
      <c r="N5" s="1171"/>
      <c r="O5" s="1171"/>
      <c r="P5" s="1171"/>
      <c r="Q5" s="1171"/>
      <c r="R5" s="1171"/>
      <c r="S5" s="1171"/>
      <c r="T5" s="1171"/>
      <c r="U5" s="1171"/>
      <c r="V5" s="1171"/>
      <c r="W5" s="1171"/>
      <c r="X5" s="1171"/>
      <c r="Y5" s="1171"/>
      <c r="Z5" s="1171"/>
      <c r="AA5" s="1171"/>
      <c r="AB5" s="1171"/>
      <c r="AC5" s="1171"/>
    </row>
    <row r="6" spans="2:29" ht="14.15" hidden="1" customHeight="1" x14ac:dyDescent="0.3">
      <c r="B6" s="1171"/>
      <c r="C6" s="1171"/>
      <c r="D6" s="1171"/>
      <c r="E6" s="1171"/>
      <c r="F6" s="1171"/>
      <c r="G6" s="1171"/>
      <c r="H6" s="1171"/>
      <c r="I6" s="1171"/>
      <c r="J6" s="1171"/>
      <c r="K6" s="1171"/>
      <c r="L6" s="1171"/>
      <c r="M6" s="1171"/>
      <c r="N6" s="1171"/>
      <c r="O6" s="1171"/>
      <c r="P6" s="1171"/>
      <c r="Q6" s="1171"/>
      <c r="R6" s="1171"/>
      <c r="S6" s="1171"/>
      <c r="T6" s="1171"/>
      <c r="U6" s="1171"/>
      <c r="V6" s="1171"/>
      <c r="W6" s="1171"/>
      <c r="X6" s="1171"/>
      <c r="Y6" s="1171"/>
      <c r="Z6" s="1171"/>
      <c r="AA6" s="1171"/>
      <c r="AB6" s="1171"/>
      <c r="AC6" s="1171"/>
    </row>
    <row r="7" spans="2:29" x14ac:dyDescent="0.3">
      <c r="B7" s="350" t="s">
        <v>465</v>
      </c>
      <c r="C7" s="45"/>
      <c r="D7" s="45"/>
      <c r="E7" s="45"/>
      <c r="F7" s="45"/>
      <c r="G7" s="45"/>
      <c r="H7" s="46"/>
      <c r="I7" s="46"/>
      <c r="J7" s="46"/>
      <c r="K7" s="46"/>
      <c r="L7" s="46"/>
      <c r="M7" s="46"/>
      <c r="N7" s="46"/>
      <c r="O7" s="46"/>
      <c r="P7" s="46"/>
      <c r="Q7" s="46"/>
      <c r="R7" s="46"/>
      <c r="S7" s="46"/>
      <c r="T7" s="46"/>
      <c r="U7" s="46"/>
    </row>
    <row r="8" spans="2:29" ht="14.5" customHeight="1" x14ac:dyDescent="0.3">
      <c r="B8" s="1157" t="s">
        <v>429</v>
      </c>
      <c r="C8" s="1158"/>
      <c r="D8" s="1164" t="s">
        <v>401</v>
      </c>
      <c r="E8" s="1165"/>
      <c r="F8" s="1165"/>
      <c r="G8" s="1165"/>
      <c r="H8" s="1165"/>
      <c r="I8" s="1165"/>
      <c r="J8" s="1165"/>
      <c r="K8" s="1165"/>
      <c r="L8" s="1165"/>
      <c r="M8" s="1165"/>
      <c r="N8" s="1165"/>
      <c r="O8" s="1166"/>
      <c r="P8" s="1210" t="s">
        <v>402</v>
      </c>
      <c r="Q8" s="1211"/>
      <c r="R8" s="1211"/>
      <c r="S8" s="1211"/>
      <c r="T8" s="1211"/>
      <c r="U8" s="1211"/>
      <c r="V8" s="1211"/>
      <c r="W8" s="1211"/>
      <c r="X8" s="1211"/>
      <c r="Y8" s="1211"/>
      <c r="Z8" s="1211"/>
      <c r="AA8" s="1211"/>
      <c r="AB8" s="1211"/>
      <c r="AC8" s="1212"/>
    </row>
    <row r="9" spans="2:29" ht="14.5" customHeight="1" x14ac:dyDescent="0.3">
      <c r="B9" s="1159"/>
      <c r="C9" s="1223"/>
      <c r="D9" s="513">
        <v>2018</v>
      </c>
      <c r="E9" s="1154">
        <v>2019</v>
      </c>
      <c r="F9" s="1155"/>
      <c r="G9" s="1155"/>
      <c r="H9" s="1156"/>
      <c r="I9" s="1154">
        <v>2020</v>
      </c>
      <c r="J9" s="1155"/>
      <c r="K9" s="1155"/>
      <c r="L9" s="1156"/>
      <c r="M9" s="1154">
        <v>2021</v>
      </c>
      <c r="N9" s="1155"/>
      <c r="O9" s="1156"/>
      <c r="P9" s="545">
        <v>2021</v>
      </c>
      <c r="Q9" s="1161">
        <v>2022</v>
      </c>
      <c r="R9" s="1162"/>
      <c r="S9" s="1162"/>
      <c r="T9" s="1163"/>
      <c r="U9" s="1161">
        <v>2023</v>
      </c>
      <c r="V9" s="1162"/>
      <c r="W9" s="1162"/>
      <c r="X9" s="1162"/>
      <c r="Y9" s="1161">
        <v>2024</v>
      </c>
      <c r="Z9" s="1162"/>
      <c r="AA9" s="1162"/>
      <c r="AB9" s="1163"/>
      <c r="AC9" s="322">
        <v>2025</v>
      </c>
    </row>
    <row r="10" spans="2:29" x14ac:dyDescent="0.3">
      <c r="B10" s="1159"/>
      <c r="C10" s="1223"/>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x14ac:dyDescent="0.3">
      <c r="B11" s="1258" t="s">
        <v>638</v>
      </c>
      <c r="C11" s="1259"/>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x14ac:dyDescent="0.3">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3141.4</v>
      </c>
      <c r="P12" s="1072">
        <f>SUM(P14:P25)-P24</f>
        <v>2943.7912427068841</v>
      </c>
      <c r="Q12" s="1072">
        <f t="shared" ref="Q12:AC12" si="0">SUM(Q14:Q25)-Q24</f>
        <v>2802.8460128341658</v>
      </c>
      <c r="R12" s="1072">
        <f t="shared" si="0"/>
        <v>2818.6921519473449</v>
      </c>
      <c r="S12" s="1072">
        <f>SUM(S14:S25)-S24</f>
        <v>2764.9435944824163</v>
      </c>
      <c r="T12" s="1072">
        <f t="shared" si="0"/>
        <v>2762.0120287366244</v>
      </c>
      <c r="U12" s="1072">
        <f>SUM(U14:U25)-U24</f>
        <v>2832.5352660383023</v>
      </c>
      <c r="V12" s="1072">
        <f t="shared" si="0"/>
        <v>2856.9647350064943</v>
      </c>
      <c r="W12" s="1072">
        <f t="shared" si="0"/>
        <v>2881.7174163470436</v>
      </c>
      <c r="X12" s="1072">
        <f t="shared" si="0"/>
        <v>2921.098277911502</v>
      </c>
      <c r="Y12" s="1072">
        <f t="shared" si="0"/>
        <v>2970.322708202028</v>
      </c>
      <c r="Z12" s="1072">
        <f t="shared" si="0"/>
        <v>2995.8293638400096</v>
      </c>
      <c r="AA12" s="1072">
        <f t="shared" si="0"/>
        <v>3021.5753005937445</v>
      </c>
      <c r="AB12" s="1072">
        <f t="shared" si="0"/>
        <v>3046.0434158884</v>
      </c>
      <c r="AC12" s="1072">
        <f t="shared" si="0"/>
        <v>3097.130532907624</v>
      </c>
    </row>
    <row r="13" spans="2:29" x14ac:dyDescent="0.3">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x14ac:dyDescent="0.3">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272.60000000000002</v>
      </c>
      <c r="P14" s="1019">
        <f>'Unemployment Insurance'!P20+'Unemployment Insurance'!P19</f>
        <v>32.412642857142878</v>
      </c>
      <c r="Q14" s="1019">
        <f>'Unemployment Insurance'!Q20+'Unemployment Insurance'!Q19</f>
        <v>28.861246753246771</v>
      </c>
      <c r="R14" s="1019">
        <f>'Unemployment Insurance'!R20+'Unemployment Insurance'!R19</f>
        <v>26.856993506493524</v>
      </c>
      <c r="S14" s="1019">
        <f>'Unemployment Insurance'!S20+'Unemployment Insurance'!S19</f>
        <v>25.893545454545471</v>
      </c>
      <c r="T14" s="1019">
        <f>'Unemployment Insurance'!T20+'Unemployment Insurance'!T19</f>
        <v>25.57708441558443</v>
      </c>
      <c r="U14" s="1019">
        <f>'Unemployment Insurance'!U20+'Unemployment Insurance'!U19</f>
        <v>25.752896103896116</v>
      </c>
      <c r="V14" s="1019">
        <f>'Unemployment Insurance'!V20+'Unemployment Insurance'!V19</f>
        <v>26.1467142857143</v>
      </c>
      <c r="W14" s="1019">
        <f>'Unemployment Insurance'!W20+'Unemployment Insurance'!W19</f>
        <v>26.547564935064948</v>
      </c>
      <c r="X14" s="1019">
        <f>'Unemployment Insurance'!X20+'Unemployment Insurance'!X19</f>
        <v>26.969512987013001</v>
      </c>
      <c r="Y14" s="1019">
        <f>'Unemployment Insurance'!Y20+'Unemployment Insurance'!Y19</f>
        <v>27.496948051948067</v>
      </c>
      <c r="Z14" s="1019">
        <f>'Unemployment Insurance'!Z20+'Unemployment Insurance'!Z19</f>
        <v>27.932961038961054</v>
      </c>
      <c r="AA14" s="1019">
        <f>'Unemployment Insurance'!AA20+'Unemployment Insurance'!AA19</f>
        <v>28.277551948051961</v>
      </c>
      <c r="AB14" s="1019">
        <f>'Unemployment Insurance'!AB20+'Unemployment Insurance'!AB19</f>
        <v>28.706532467532483</v>
      </c>
      <c r="AC14" s="1020">
        <f>'Unemployment Insurance'!AC20+'Unemployment Insurance'!AC19</f>
        <v>29.121448051948068</v>
      </c>
    </row>
    <row r="15" spans="2:29" ht="17.5" customHeight="1" x14ac:dyDescent="0.3">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x14ac:dyDescent="0.3">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f>'Rebate Checks'!P10 +'Rebate Checks'!P11</f>
        <v>0</v>
      </c>
      <c r="Q16" s="1019">
        <f>'Rebate Checks'!Q10 +'Rebate Checks'!Q11</f>
        <v>14.93</v>
      </c>
      <c r="R16" s="1019">
        <f>'Rebate Checks'!R10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x14ac:dyDescent="0.35">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x14ac:dyDescent="0.3">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x14ac:dyDescent="0.3">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12.2</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x14ac:dyDescent="0.3">
      <c r="B20" s="998" t="s">
        <v>1235</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85.407749999999993</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x14ac:dyDescent="0.3">
      <c r="B21" s="998" t="s">
        <v>1232</v>
      </c>
      <c r="C21" s="999" t="s">
        <v>1233</v>
      </c>
      <c r="D21" s="1003">
        <v>30</v>
      </c>
      <c r="E21" s="1007">
        <v>30</v>
      </c>
      <c r="F21" s="1007">
        <v>30</v>
      </c>
      <c r="G21" s="1007">
        <v>30</v>
      </c>
      <c r="H21" s="1007">
        <v>30</v>
      </c>
      <c r="I21" s="1007">
        <v>30</v>
      </c>
      <c r="J21" s="1007">
        <v>30</v>
      </c>
      <c r="K21" s="1008">
        <v>30.2</v>
      </c>
      <c r="L21" s="1008">
        <v>30.2</v>
      </c>
      <c r="M21" s="1008">
        <v>34.4</v>
      </c>
      <c r="N21" s="1005">
        <v>34.4</v>
      </c>
      <c r="O21" s="1072">
        <v>218.9</v>
      </c>
      <c r="P21" s="1050">
        <f>55*4 + 34</f>
        <v>254</v>
      </c>
      <c r="Q21" s="1050">
        <f>8*4 + 34</f>
        <v>66</v>
      </c>
      <c r="R21" s="1050">
        <f>8*4 + 34</f>
        <v>66</v>
      </c>
      <c r="S21" s="1050">
        <v>34</v>
      </c>
      <c r="T21" s="1050">
        <v>34</v>
      </c>
      <c r="U21" s="1050">
        <v>34</v>
      </c>
      <c r="V21" s="1050">
        <v>34</v>
      </c>
      <c r="W21" s="1050">
        <v>34</v>
      </c>
      <c r="X21" s="1050">
        <v>34</v>
      </c>
      <c r="Y21" s="1050">
        <v>34</v>
      </c>
      <c r="Z21" s="1050">
        <v>34</v>
      </c>
      <c r="AA21" s="1050">
        <v>34</v>
      </c>
      <c r="AB21" s="1050">
        <v>34</v>
      </c>
      <c r="AC21" s="610">
        <v>34</v>
      </c>
    </row>
    <row r="22" spans="1:16384" ht="21.5" customHeight="1" x14ac:dyDescent="0.3">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116">
        <f>PPP!P53</f>
        <v>1.6983733112765369</v>
      </c>
      <c r="Q22" s="1116">
        <f>PPP!Q53</f>
        <v>0</v>
      </c>
      <c r="R22" s="1116">
        <f>PPP!R53</f>
        <v>0</v>
      </c>
      <c r="S22" s="1116">
        <f>PPP!S53</f>
        <v>0</v>
      </c>
      <c r="T22" s="1116">
        <f>PPP!T53</f>
        <v>0</v>
      </c>
      <c r="U22" s="1116">
        <f>PPP!U53</f>
        <v>0</v>
      </c>
      <c r="V22" s="1116">
        <f>PPP!V53</f>
        <v>0</v>
      </c>
      <c r="W22" s="1116">
        <f>PPP!W53</f>
        <v>0</v>
      </c>
      <c r="X22" s="1116">
        <f>PPP!X53</f>
        <v>0</v>
      </c>
      <c r="Y22" s="1116">
        <f>PPP!Y53</f>
        <v>0</v>
      </c>
      <c r="Z22" s="1116">
        <f>PPP!Z53</f>
        <v>0</v>
      </c>
      <c r="AA22" s="1116">
        <f>PPP!AA53</f>
        <v>0</v>
      </c>
      <c r="AB22" s="1116">
        <f>PPP!AB53</f>
        <v>0</v>
      </c>
      <c r="AC22" s="1117">
        <f>PPP!AC53</f>
        <v>0</v>
      </c>
    </row>
    <row r="23" spans="1:16384" ht="21.5" customHeight="1" x14ac:dyDescent="0.3">
      <c r="B23" s="1012" t="s">
        <v>1234</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-0.37891000000104214</v>
      </c>
      <c r="P23" s="1120">
        <f t="shared" si="2"/>
        <v>45</v>
      </c>
      <c r="Q23" s="1120">
        <f t="shared" si="2"/>
        <v>45</v>
      </c>
      <c r="R23" s="1120">
        <f t="shared" si="2"/>
        <v>45</v>
      </c>
      <c r="S23" s="1120">
        <f t="shared" si="2"/>
        <v>45</v>
      </c>
      <c r="T23" s="1120">
        <f t="shared" si="2"/>
        <v>111</v>
      </c>
      <c r="U23" s="1120">
        <f t="shared" si="2"/>
        <v>111</v>
      </c>
      <c r="V23" s="1120">
        <f t="shared" si="2"/>
        <v>111</v>
      </c>
      <c r="W23" s="1120">
        <f t="shared" si="2"/>
        <v>111</v>
      </c>
      <c r="X23" s="1120">
        <f t="shared" si="2"/>
        <v>133</v>
      </c>
      <c r="Y23" s="1120">
        <f t="shared" si="2"/>
        <v>133</v>
      </c>
      <c r="Z23" s="1120">
        <f t="shared" si="2"/>
        <v>133</v>
      </c>
      <c r="AA23" s="1120">
        <f t="shared" si="2"/>
        <v>133</v>
      </c>
      <c r="AB23" s="1120">
        <f t="shared" si="2"/>
        <v>133</v>
      </c>
      <c r="AC23" s="1111">
        <f t="shared" si="2"/>
        <v>133</v>
      </c>
    </row>
    <row r="24" spans="1:16384" s="139" customFormat="1" ht="21" customHeight="1" x14ac:dyDescent="0.35">
      <c r="B24" s="995" t="s">
        <v>1230</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119">
        <f t="shared" si="3"/>
        <v>31.919000000000004</v>
      </c>
      <c r="Q24" s="1119">
        <f t="shared" si="3"/>
        <v>19.719000000000005</v>
      </c>
      <c r="R24" s="1119">
        <f t="shared" si="3"/>
        <v>19.719000000000005</v>
      </c>
      <c r="S24" s="1119">
        <f t="shared" si="3"/>
        <v>19.719000000000005</v>
      </c>
      <c r="T24" s="1119">
        <f t="shared" si="3"/>
        <v>1.4159999999999999</v>
      </c>
      <c r="U24" s="1119">
        <f t="shared" si="3"/>
        <v>1.4159999999999999</v>
      </c>
      <c r="V24" s="1119">
        <f t="shared" si="3"/>
        <v>1.4159999999999999</v>
      </c>
      <c r="W24" s="1119">
        <f t="shared" si="3"/>
        <v>1.4159999999999999</v>
      </c>
      <c r="X24" s="1119">
        <f t="shared" si="3"/>
        <v>1.4790000000000001</v>
      </c>
      <c r="Y24" s="1119">
        <f t="shared" si="3"/>
        <v>1.4790000000000001</v>
      </c>
      <c r="Z24" s="1119">
        <f t="shared" si="3"/>
        <v>1.4790000000000001</v>
      </c>
      <c r="AA24" s="1119">
        <f t="shared" si="3"/>
        <v>1.4790000000000001</v>
      </c>
      <c r="AB24" s="1119">
        <f t="shared" si="3"/>
        <v>1.63</v>
      </c>
      <c r="AC24" s="1112">
        <f t="shared" si="3"/>
        <v>1.63</v>
      </c>
    </row>
    <row r="25" spans="1:16384" ht="44.5" customHeight="1" x14ac:dyDescent="0.3">
      <c r="B25" s="1009" t="s">
        <v>1240</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120">
        <f t="shared" si="4"/>
        <v>1607.101000000001</v>
      </c>
      <c r="Q25" s="1120">
        <f t="shared" si="4"/>
        <v>1682.2142400000012</v>
      </c>
      <c r="R25" s="1120">
        <f t="shared" si="4"/>
        <v>1689.3142400000013</v>
      </c>
      <c r="S25" s="1120">
        <f t="shared" si="4"/>
        <v>1696.4142400000014</v>
      </c>
      <c r="T25" s="1120">
        <f t="shared" si="4"/>
        <v>1703.5142400000016</v>
      </c>
      <c r="U25" s="1120">
        <f t="shared" si="4"/>
        <v>1757.2364000000016</v>
      </c>
      <c r="V25" s="1120">
        <f t="shared" si="4"/>
        <v>1764.3364000000017</v>
      </c>
      <c r="W25" s="1120">
        <f t="shared" si="4"/>
        <v>1771.4364000000019</v>
      </c>
      <c r="X25" s="1120">
        <f t="shared" si="4"/>
        <v>1778.536400000002</v>
      </c>
      <c r="Y25" s="1120">
        <f t="shared" si="4"/>
        <v>1809.5874800000022</v>
      </c>
      <c r="Z25" s="1120">
        <f t="shared" si="4"/>
        <v>1816.6874800000023</v>
      </c>
      <c r="AA25" s="1120">
        <f t="shared" si="4"/>
        <v>1823.7874800000025</v>
      </c>
      <c r="AB25" s="1120">
        <f t="shared" si="4"/>
        <v>1830.8874800000026</v>
      </c>
      <c r="AC25" s="1111">
        <f t="shared" si="4"/>
        <v>1862.5785600000027</v>
      </c>
    </row>
    <row r="26" spans="1:16384" s="1100" customFormat="1" ht="44.5" customHeight="1" x14ac:dyDescent="0.3">
      <c r="B26" s="1103" t="s">
        <v>1258</v>
      </c>
      <c r="D26" s="1104"/>
      <c r="E26" s="1105"/>
      <c r="F26" s="1105"/>
      <c r="G26" s="1105"/>
      <c r="H26" s="1105"/>
      <c r="I26" s="1105"/>
      <c r="J26" s="1105"/>
      <c r="K26" s="1105"/>
      <c r="L26" s="1105"/>
      <c r="M26" s="1105"/>
      <c r="N26" s="1105"/>
      <c r="O26" s="1105"/>
      <c r="P26" s="1121">
        <v>-2.5</v>
      </c>
      <c r="Q26" s="1095">
        <v>-2.5</v>
      </c>
      <c r="R26" s="1095">
        <v>-2.5</v>
      </c>
      <c r="S26" s="1095">
        <v>-2.5</v>
      </c>
      <c r="T26" s="1095">
        <v>-6</v>
      </c>
      <c r="U26" s="1095">
        <v>-6</v>
      </c>
      <c r="V26" s="1095">
        <v>-6</v>
      </c>
      <c r="W26" s="1095">
        <v>-6</v>
      </c>
      <c r="X26" s="1095">
        <v>-4.3</v>
      </c>
      <c r="Y26" s="1095">
        <v>-4.3</v>
      </c>
      <c r="Z26" s="1095">
        <v>-4.3</v>
      </c>
      <c r="AA26" s="1095">
        <v>-4.3</v>
      </c>
      <c r="AB26" s="1095">
        <v>-4.8</v>
      </c>
      <c r="AC26" s="1117">
        <v>-4.8</v>
      </c>
    </row>
    <row r="27" spans="1:16384" s="139" customFormat="1" ht="31" customHeight="1" x14ac:dyDescent="0.35">
      <c r="B27" s="1069" t="s">
        <v>1236</v>
      </c>
      <c r="C27" s="1066"/>
      <c r="D27" s="1016">
        <f>D25+SUM(D20:D23) + D26</f>
        <v>1441.0000000000002</v>
      </c>
      <c r="E27" s="1099">
        <f t="shared" ref="E27:O27" si="5">E25+SUM(E20:E23) + E26</f>
        <v>1501.3999999999999</v>
      </c>
      <c r="F27" s="1099">
        <f t="shared" si="5"/>
        <v>1506.6</v>
      </c>
      <c r="G27" s="1099">
        <f t="shared" si="5"/>
        <v>1513.6999999999998</v>
      </c>
      <c r="H27" s="1099">
        <f t="shared" si="5"/>
        <v>1522.7</v>
      </c>
      <c r="I27" s="1099">
        <f t="shared" si="5"/>
        <v>1569.9</v>
      </c>
      <c r="J27" s="1099">
        <f t="shared" si="5"/>
        <v>1666.7</v>
      </c>
      <c r="K27" s="1099">
        <f>K25+SUM(K20:K23) + K26</f>
        <v>1800.7000000000003</v>
      </c>
      <c r="L27" s="1099">
        <f t="shared" si="5"/>
        <v>1678.6999999999996</v>
      </c>
      <c r="M27" s="1099">
        <f t="shared" si="5"/>
        <v>1714.1999999999998</v>
      </c>
      <c r="N27" s="1099">
        <f t="shared" si="5"/>
        <v>1725.9781600000003</v>
      </c>
      <c r="O27" s="1099">
        <f t="shared" si="5"/>
        <v>1917.9298399999998</v>
      </c>
      <c r="P27" s="1094">
        <f t="shared" ref="P27" si="6">P25+SUM(P20:P23) + P26</f>
        <v>1955.2993733112776</v>
      </c>
      <c r="Q27" s="1098">
        <f t="shared" ref="Q27" si="7">Q25+SUM(Q20:Q23) + Q26</f>
        <v>1815.7142400000012</v>
      </c>
      <c r="R27" s="1098">
        <f t="shared" ref="R27" si="8">R25+SUM(R20:R23) + R26</f>
        <v>1817.8142400000013</v>
      </c>
      <c r="S27" s="1098">
        <f t="shared" ref="S27" si="9">S25+SUM(S20:S23) + S26</f>
        <v>1777.9142400000014</v>
      </c>
      <c r="T27" s="1098">
        <f t="shared" ref="T27" si="10">T25+SUM(T20:T23) + T26</f>
        <v>1842.5142400000016</v>
      </c>
      <c r="U27" s="1098">
        <f t="shared" ref="U27" si="11">U25+SUM(U20:U23) + U26</f>
        <v>1896.2364000000016</v>
      </c>
      <c r="V27" s="1098">
        <f t="shared" ref="V27" si="12">V25+SUM(V20:V23) + V26</f>
        <v>1903.3364000000017</v>
      </c>
      <c r="W27" s="1098">
        <f t="shared" ref="W27" si="13">W25+SUM(W20:W23) + W26</f>
        <v>1910.4364000000019</v>
      </c>
      <c r="X27" s="1098">
        <f t="shared" ref="X27" si="14">X25+SUM(X20:X23) + X26</f>
        <v>1941.236400000002</v>
      </c>
      <c r="Y27" s="1098">
        <f t="shared" ref="Y27" si="15">Y25+SUM(Y20:Y23) + Y26</f>
        <v>1972.2874800000022</v>
      </c>
      <c r="Z27" s="1098">
        <f t="shared" ref="Z27" si="16">Z25+SUM(Z20:Z23) + Z26</f>
        <v>1979.3874800000024</v>
      </c>
      <c r="AA27" s="1098">
        <f t="shared" ref="AA27" si="17">AA25+SUM(AA20:AA23) + AA26</f>
        <v>1986.4874800000025</v>
      </c>
      <c r="AB27" s="1098">
        <f t="shared" ref="AB27" si="18">AB25+SUM(AB20:AB23) + AB26</f>
        <v>1993.0874800000026</v>
      </c>
      <c r="AC27" s="1097">
        <f t="shared" ref="AC27" si="19">AC25+SUM(AC20:AC23) + AC26</f>
        <v>2024.7785600000027</v>
      </c>
    </row>
    <row r="28" spans="1:16384" s="139" customFormat="1" ht="31" customHeight="1" x14ac:dyDescent="0.35">
      <c r="B28" s="1252" t="s">
        <v>646</v>
      </c>
      <c r="C28" s="1253"/>
      <c r="D28" s="1058"/>
      <c r="E28" s="1122"/>
      <c r="F28" s="1122"/>
      <c r="G28" s="1122"/>
      <c r="H28" s="1122"/>
      <c r="I28" s="1122"/>
      <c r="J28" s="1122"/>
      <c r="K28" s="1122"/>
      <c r="L28" s="1122"/>
      <c r="M28" s="1122"/>
      <c r="N28" s="1070"/>
      <c r="O28" s="1076"/>
      <c r="P28" s="1123"/>
      <c r="Q28" s="1123"/>
      <c r="R28" s="1123"/>
      <c r="S28" s="1123"/>
      <c r="T28" s="1123"/>
      <c r="U28" s="1123"/>
      <c r="V28" s="1123"/>
      <c r="W28" s="1123"/>
      <c r="X28" s="1123"/>
      <c r="Y28" s="1123"/>
      <c r="Z28" s="1123"/>
      <c r="AA28" s="1123"/>
      <c r="AB28" s="1123"/>
      <c r="AC28" s="1114"/>
    </row>
    <row r="29" spans="1:16384" x14ac:dyDescent="0.3">
      <c r="B29" s="156" t="s">
        <v>1242</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897.4</v>
      </c>
      <c r="P29" s="1118"/>
      <c r="Q29" s="1118"/>
      <c r="R29" s="1118"/>
      <c r="S29" s="1118"/>
      <c r="T29" s="1118"/>
      <c r="U29" s="1118"/>
      <c r="V29" s="1118"/>
      <c r="W29" s="1118"/>
      <c r="X29" s="1118"/>
      <c r="Y29" s="1118"/>
      <c r="Z29" s="1118"/>
      <c r="AA29" s="1118"/>
      <c r="AB29" s="1118"/>
      <c r="AC29" s="1115"/>
    </row>
    <row r="30" spans="1:16384" x14ac:dyDescent="0.3">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740</v>
      </c>
      <c r="P30" s="1120">
        <f>Medicaid!P25</f>
        <v>750.27313417313019</v>
      </c>
      <c r="Q30" s="1120">
        <f>Medicaid!Q25</f>
        <v>760.68888629996195</v>
      </c>
      <c r="R30" s="1120">
        <f>Medicaid!R25</f>
        <v>771.24923629045986</v>
      </c>
      <c r="S30" s="1120">
        <f>Medicaid!S25</f>
        <v>781.95619154091401</v>
      </c>
      <c r="T30" s="1120">
        <f>Medicaid!T25</f>
        <v>771.60978730291697</v>
      </c>
      <c r="U30" s="1120">
        <f>Medicaid!U25</f>
        <v>761.40028086279415</v>
      </c>
      <c r="V30" s="1120">
        <f>Medicaid!V25</f>
        <v>751.32586086593074</v>
      </c>
      <c r="W30" s="1120">
        <f>Medicaid!W25</f>
        <v>741.3847399245368</v>
      </c>
      <c r="X30" s="1120">
        <f>Medicaid!X25</f>
        <v>751.58998941094046</v>
      </c>
      <c r="Y30" s="1120">
        <f>Medicaid!Y25</f>
        <v>761.93571537530659</v>
      </c>
      <c r="Z30" s="1120">
        <f>Medicaid!Z25</f>
        <v>772.42385149313111</v>
      </c>
      <c r="AA30" s="1120">
        <f>Medicaid!AA25</f>
        <v>783.05635805718384</v>
      </c>
      <c r="AB30" s="1120">
        <f>Medicaid!AB25</f>
        <v>793.83522234389898</v>
      </c>
      <c r="AC30" s="1111">
        <f>Medicaid!AC25</f>
        <v>804.76245898480795</v>
      </c>
    </row>
    <row r="31" spans="1:16384" s="139" customFormat="1" ht="14.5" x14ac:dyDescent="0.35">
      <c r="B31" s="138" t="s">
        <v>1243</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157.39999999999998</v>
      </c>
      <c r="P31" s="1057">
        <f>O31*(1+AVERAGE($F$32:$I$32))</f>
        <v>159.29790460874236</v>
      </c>
      <c r="Q31" s="1057">
        <f t="shared" ref="Q31:AC31" si="21">P31*(1+AVERAGE($F$32:$I$32))</f>
        <v>161.21869385473943</v>
      </c>
      <c r="R31" s="1057">
        <f t="shared" si="21"/>
        <v>163.16264367737182</v>
      </c>
      <c r="S31" s="1057">
        <f t="shared" si="21"/>
        <v>165.13003334325413</v>
      </c>
      <c r="T31" s="1057">
        <f t="shared" si="21"/>
        <v>167.12114548635418</v>
      </c>
      <c r="U31" s="1057">
        <f t="shared" si="21"/>
        <v>169.13626614859598</v>
      </c>
      <c r="V31" s="1057">
        <f t="shared" si="21"/>
        <v>171.1756848209524</v>
      </c>
      <c r="W31" s="1057">
        <f t="shared" si="21"/>
        <v>173.2396944850332</v>
      </c>
      <c r="X31" s="1057">
        <f t="shared" si="21"/>
        <v>175.32859165517468</v>
      </c>
      <c r="Y31" s="1057">
        <f t="shared" si="21"/>
        <v>177.44267642103662</v>
      </c>
      <c r="Z31" s="1057">
        <f t="shared" si="21"/>
        <v>179.58225249071305</v>
      </c>
      <c r="AA31" s="1057">
        <f t="shared" si="21"/>
        <v>181.74762723436274</v>
      </c>
      <c r="AB31" s="1057">
        <f t="shared" si="21"/>
        <v>183.93911172836584</v>
      </c>
      <c r="AC31" s="327">
        <f t="shared" si="21"/>
        <v>186.1570208000129</v>
      </c>
    </row>
    <row r="32" spans="1:16384" x14ac:dyDescent="0.3">
      <c r="B32" s="475" t="s">
        <v>1244</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1.5483870967741842E-2</v>
      </c>
      <c r="P32" s="632"/>
      <c r="Q32" s="632"/>
      <c r="R32" s="632"/>
      <c r="S32" s="632"/>
      <c r="T32" s="632"/>
      <c r="U32" s="632"/>
      <c r="V32" s="632"/>
      <c r="W32" s="632"/>
      <c r="X32" s="632"/>
      <c r="Y32" s="632"/>
      <c r="Z32" s="632"/>
      <c r="AA32" s="632"/>
      <c r="AB32" s="632"/>
      <c r="AC32" s="633"/>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x14ac:dyDescent="0.3">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65" customHeight="1" x14ac:dyDescent="0.3">
      <c r="B36" s="1260" t="s">
        <v>650</v>
      </c>
      <c r="C36" s="1260"/>
      <c r="D36" s="1260"/>
      <c r="E36" s="1260"/>
      <c r="F36" s="1260"/>
      <c r="G36" s="1260"/>
      <c r="H36" s="1260"/>
      <c r="I36" s="1260"/>
      <c r="J36" s="1260"/>
      <c r="K36" s="1260"/>
      <c r="L36" s="1260"/>
      <c r="M36" s="1260"/>
      <c r="N36" s="1260"/>
      <c r="O36" s="1260"/>
      <c r="P36" s="1260"/>
      <c r="Q36" s="1260"/>
      <c r="R36" s="1260"/>
      <c r="S36" s="1260"/>
      <c r="T36" s="1260"/>
      <c r="U36" s="1260"/>
      <c r="V36" s="1260"/>
      <c r="W36" s="1260"/>
      <c r="X36" s="1260"/>
      <c r="Y36" s="1260"/>
      <c r="Z36" s="1260"/>
      <c r="AA36" s="1260"/>
      <c r="AB36" s="1260"/>
      <c r="AC36" s="1260"/>
    </row>
    <row r="37" spans="2:29" ht="14.5" customHeight="1" x14ac:dyDescent="0.3">
      <c r="B37" s="1159" t="s">
        <v>651</v>
      </c>
      <c r="C37" s="1160"/>
      <c r="D37" s="1164" t="s">
        <v>401</v>
      </c>
      <c r="E37" s="1165"/>
      <c r="F37" s="1165"/>
      <c r="G37" s="1165"/>
      <c r="H37" s="1165"/>
      <c r="I37" s="1165"/>
      <c r="J37" s="1165"/>
      <c r="K37" s="1165"/>
      <c r="L37" s="1165"/>
      <c r="M37" s="1165"/>
      <c r="N37" s="1165"/>
      <c r="O37" s="1166"/>
      <c r="P37" s="1210" t="s">
        <v>402</v>
      </c>
      <c r="Q37" s="1211"/>
      <c r="R37" s="1211"/>
      <c r="S37" s="1211"/>
      <c r="T37" s="1211"/>
      <c r="U37" s="1211"/>
      <c r="V37" s="1211"/>
      <c r="W37" s="1211"/>
      <c r="X37" s="1211"/>
      <c r="Y37" s="1211"/>
      <c r="Z37" s="1211"/>
      <c r="AA37" s="1211"/>
      <c r="AB37" s="1211"/>
      <c r="AC37" s="1212"/>
    </row>
    <row r="38" spans="2:29" x14ac:dyDescent="0.3">
      <c r="B38" s="1159"/>
      <c r="C38" s="1160"/>
      <c r="D38" s="513">
        <v>2018</v>
      </c>
      <c r="E38" s="1154">
        <v>2019</v>
      </c>
      <c r="F38" s="1155"/>
      <c r="G38" s="1155"/>
      <c r="H38" s="1156"/>
      <c r="I38" s="1154">
        <v>2020</v>
      </c>
      <c r="J38" s="1155"/>
      <c r="K38" s="1155"/>
      <c r="L38" s="1156"/>
      <c r="M38" s="1154">
        <v>2021</v>
      </c>
      <c r="N38" s="1155"/>
      <c r="O38" s="1156"/>
      <c r="P38" s="545">
        <v>2021</v>
      </c>
      <c r="Q38" s="1161">
        <v>2022</v>
      </c>
      <c r="R38" s="1162"/>
      <c r="S38" s="1162"/>
      <c r="T38" s="1163"/>
      <c r="U38" s="1161">
        <v>2023</v>
      </c>
      <c r="V38" s="1162"/>
      <c r="W38" s="1162"/>
      <c r="X38" s="1162"/>
      <c r="Y38" s="1161">
        <v>2024</v>
      </c>
      <c r="Z38" s="1162"/>
      <c r="AA38" s="1162"/>
      <c r="AB38" s="1163"/>
      <c r="AC38" s="322">
        <v>2025</v>
      </c>
    </row>
    <row r="39" spans="2:29" x14ac:dyDescent="0.3">
      <c r="B39" s="1193"/>
      <c r="C39" s="1194"/>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x14ac:dyDescent="0.3">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85.407749999999993</v>
      </c>
      <c r="P40" s="1052">
        <v>50</v>
      </c>
      <c r="Q40" s="984">
        <v>25</v>
      </c>
      <c r="R40" s="912">
        <v>20</v>
      </c>
      <c r="S40" s="912">
        <v>5</v>
      </c>
      <c r="T40" s="912">
        <v>0</v>
      </c>
      <c r="U40" s="984"/>
      <c r="V40" s="984"/>
      <c r="W40" s="984"/>
      <c r="X40" s="984"/>
      <c r="Y40" s="984"/>
      <c r="Z40" s="984"/>
      <c r="AA40" s="984"/>
      <c r="AB40" s="984"/>
      <c r="AC40" s="1027"/>
    </row>
    <row r="41" spans="2:29" x14ac:dyDescent="0.3">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140.09399999999999</v>
      </c>
      <c r="P41" s="985"/>
      <c r="Q41" s="1028"/>
      <c r="R41" s="1028"/>
      <c r="S41" s="1028"/>
      <c r="T41" s="1028"/>
      <c r="U41" s="1028"/>
      <c r="V41" s="1028"/>
      <c r="W41" s="1028"/>
      <c r="X41" s="1028"/>
      <c r="Y41" s="1028"/>
      <c r="Z41" s="1028"/>
      <c r="AA41" s="1028"/>
      <c r="AB41" s="1028"/>
      <c r="AC41" s="407"/>
    </row>
    <row r="42" spans="2:29" ht="29" customHeight="1" x14ac:dyDescent="0.3">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85.941000000000003</v>
      </c>
      <c r="P42" s="57"/>
      <c r="Q42" s="58"/>
      <c r="R42" s="58"/>
      <c r="S42" s="58"/>
      <c r="T42" s="58"/>
      <c r="U42" s="58"/>
      <c r="V42" s="58"/>
      <c r="W42" s="58"/>
      <c r="X42" s="58"/>
      <c r="Y42" s="58"/>
      <c r="Z42" s="58"/>
      <c r="AA42" s="58"/>
      <c r="AB42" s="58"/>
      <c r="AC42" s="59"/>
    </row>
    <row r="43" spans="2:29" ht="35.5" customHeight="1" x14ac:dyDescent="0.3"/>
    <row r="44" spans="2:29" x14ac:dyDescent="0.3">
      <c r="B44" s="1018" t="s">
        <v>497</v>
      </c>
    </row>
    <row r="45" spans="2:29" x14ac:dyDescent="0.3">
      <c r="B45" s="1254" t="s">
        <v>1241</v>
      </c>
      <c r="C45" s="1255"/>
      <c r="D45" s="1164" t="s">
        <v>401</v>
      </c>
      <c r="E45" s="1165"/>
      <c r="F45" s="1165"/>
      <c r="G45" s="1165"/>
      <c r="H45" s="1165"/>
      <c r="I45" s="1165"/>
      <c r="J45" s="1165"/>
      <c r="K45" s="1165"/>
      <c r="L45" s="1165"/>
      <c r="M45" s="1165"/>
      <c r="N45" s="1165"/>
      <c r="O45" s="1166"/>
      <c r="P45" s="1210" t="s">
        <v>402</v>
      </c>
      <c r="Q45" s="1211"/>
      <c r="R45" s="1211"/>
      <c r="S45" s="1211"/>
      <c r="T45" s="1211"/>
      <c r="U45" s="1211"/>
      <c r="V45" s="1211"/>
      <c r="W45" s="1211"/>
      <c r="X45" s="1211"/>
      <c r="Y45" s="1211"/>
      <c r="Z45" s="1211"/>
      <c r="AA45" s="1211"/>
      <c r="AB45" s="1211"/>
      <c r="AC45" s="1212"/>
    </row>
    <row r="46" spans="2:29" x14ac:dyDescent="0.3">
      <c r="B46" s="1256"/>
      <c r="C46" s="1257"/>
      <c r="D46" s="513">
        <v>2018</v>
      </c>
      <c r="E46" s="1154">
        <v>2019</v>
      </c>
      <c r="F46" s="1155"/>
      <c r="G46" s="1155"/>
      <c r="H46" s="1156"/>
      <c r="I46" s="1154">
        <v>2020</v>
      </c>
      <c r="J46" s="1155"/>
      <c r="K46" s="1155"/>
      <c r="L46" s="1156"/>
      <c r="M46" s="1154">
        <v>2021</v>
      </c>
      <c r="N46" s="1155"/>
      <c r="O46" s="1156"/>
      <c r="P46" s="545">
        <v>2021</v>
      </c>
      <c r="Q46" s="1161">
        <v>2022</v>
      </c>
      <c r="R46" s="1162"/>
      <c r="S46" s="1162"/>
      <c r="T46" s="1163"/>
      <c r="U46" s="1161">
        <v>2023</v>
      </c>
      <c r="V46" s="1162"/>
      <c r="W46" s="1162"/>
      <c r="X46" s="1162"/>
      <c r="Y46" s="1161">
        <v>2024</v>
      </c>
      <c r="Z46" s="1162"/>
      <c r="AA46" s="1162"/>
      <c r="AB46" s="1163"/>
      <c r="AC46" s="322">
        <v>2025</v>
      </c>
    </row>
    <row r="47" spans="2:29" x14ac:dyDescent="0.3">
      <c r="B47" s="1256"/>
      <c r="C47" s="1257"/>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x14ac:dyDescent="0.3">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3141.4</v>
      </c>
      <c r="P48" s="1053"/>
      <c r="Q48" s="545"/>
      <c r="R48" s="545"/>
      <c r="S48" s="545"/>
      <c r="T48" s="545"/>
      <c r="U48" s="545"/>
      <c r="V48" s="545"/>
      <c r="W48" s="545"/>
      <c r="X48" s="545"/>
      <c r="Y48" s="545"/>
      <c r="Z48" s="545"/>
      <c r="AA48" s="545"/>
      <c r="AB48" s="545"/>
      <c r="AC48" s="1036"/>
    </row>
    <row r="49" spans="2:29" ht="28" x14ac:dyDescent="0.3">
      <c r="B49" s="55" t="s">
        <v>1237</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1541.7779100000002</v>
      </c>
      <c r="P49" s="992"/>
      <c r="Q49" s="1031"/>
      <c r="R49" s="1031"/>
      <c r="S49" s="1031"/>
      <c r="T49" s="1031"/>
      <c r="U49" s="1031"/>
      <c r="V49" s="1031"/>
      <c r="W49" s="1031"/>
      <c r="X49" s="1031"/>
      <c r="Y49" s="1031"/>
      <c r="Z49" s="1031"/>
      <c r="AA49" s="1031"/>
      <c r="AB49" s="1031"/>
      <c r="AC49" s="922"/>
    </row>
    <row r="50" spans="2:29" ht="28" x14ac:dyDescent="0.3">
      <c r="B50" s="55" t="s">
        <v>1238</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1599.6220899999998</v>
      </c>
      <c r="P50" s="992"/>
      <c r="Q50" s="1031"/>
      <c r="R50" s="1031"/>
      <c r="S50" s="1031"/>
      <c r="T50" s="1031"/>
      <c r="U50" s="1031"/>
      <c r="V50" s="1031"/>
      <c r="W50" s="1031"/>
      <c r="X50" s="1031"/>
      <c r="Y50" s="1031"/>
      <c r="Z50" s="1031"/>
      <c r="AA50" s="1031"/>
      <c r="AB50" s="1031"/>
      <c r="AC50" s="922"/>
    </row>
    <row r="51" spans="2:29" ht="24" customHeight="1" x14ac:dyDescent="0.3">
      <c r="B51" s="41" t="s">
        <v>1239</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1682.2142400000012</v>
      </c>
      <c r="R51" s="1043">
        <f>Q51+($H$51-$E$51)/3</f>
        <v>1689.3142400000013</v>
      </c>
      <c r="S51" s="1043">
        <f>R51+($H$51-$E$51)/3</f>
        <v>1696.4142400000014</v>
      </c>
      <c r="T51" s="1043">
        <f>S51+($H$51-$E$51)/3</f>
        <v>1703.5142400000016</v>
      </c>
      <c r="U51" s="1044">
        <f>T51+($H$51-$E$51)/3 + 0.04 *U52</f>
        <v>1757.2364000000016</v>
      </c>
      <c r="V51" s="1043">
        <f>U51+($H$51-$E$51)/3</f>
        <v>1764.3364000000017</v>
      </c>
      <c r="W51" s="1043">
        <f>V51+($H$51-$E$51)/3</f>
        <v>1771.4364000000019</v>
      </c>
      <c r="X51" s="1043">
        <f>W51+($H$51-$E$51)/3</f>
        <v>1778.536400000002</v>
      </c>
      <c r="Y51" s="1044">
        <f>X51+($H$51-$E$51)/3 + 0.02*Y52</f>
        <v>1809.5874800000022</v>
      </c>
      <c r="Z51" s="1043">
        <f>Y51+($H$51-$E$51)/3</f>
        <v>1816.6874800000023</v>
      </c>
      <c r="AA51" s="1043">
        <f>Z51+($H$51-$E$51)/3</f>
        <v>1823.7874800000025</v>
      </c>
      <c r="AB51" s="1043">
        <f>AA51+($H$51-$E$51)/3</f>
        <v>1830.8874800000026</v>
      </c>
      <c r="AC51" s="1045">
        <f>AB51+($H$51-$E$51)/3 + 0.02*AC52</f>
        <v>1862.5785600000027</v>
      </c>
    </row>
    <row r="52" spans="2:29" x14ac:dyDescent="0.3">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1117.5540000000001</v>
      </c>
      <c r="P52" s="992">
        <f>O52+8</f>
        <v>1125.5540000000001</v>
      </c>
      <c r="Q52" s="1031">
        <f t="shared" ref="Q52:AC52" si="28">P52+8</f>
        <v>1133.5540000000001</v>
      </c>
      <c r="R52" s="1031">
        <f t="shared" si="28"/>
        <v>1141.5540000000001</v>
      </c>
      <c r="S52" s="1031">
        <f t="shared" si="28"/>
        <v>1149.5540000000001</v>
      </c>
      <c r="T52" s="1031">
        <f t="shared" si="28"/>
        <v>1157.5540000000001</v>
      </c>
      <c r="U52" s="1031">
        <f t="shared" si="28"/>
        <v>1165.5540000000001</v>
      </c>
      <c r="V52" s="1031">
        <f t="shared" si="28"/>
        <v>1173.5540000000001</v>
      </c>
      <c r="W52" s="1031">
        <f t="shared" si="28"/>
        <v>1181.5540000000001</v>
      </c>
      <c r="X52" s="1031">
        <f t="shared" si="28"/>
        <v>1189.5540000000001</v>
      </c>
      <c r="Y52" s="1031">
        <f t="shared" si="28"/>
        <v>1197.5540000000001</v>
      </c>
      <c r="Z52" s="1031">
        <f t="shared" si="28"/>
        <v>1205.5540000000001</v>
      </c>
      <c r="AA52" s="1031">
        <f t="shared" si="28"/>
        <v>1213.5540000000001</v>
      </c>
      <c r="AB52" s="1031">
        <f t="shared" si="28"/>
        <v>1221.5540000000001</v>
      </c>
      <c r="AC52" s="922">
        <f t="shared" si="28"/>
        <v>1229.5540000000001</v>
      </c>
    </row>
    <row r="53" spans="2:29" ht="70" x14ac:dyDescent="0.3">
      <c r="B53" s="148" t="s">
        <v>1254</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-0.37891000000104214</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x14ac:dyDescent="0.3">
      <c r="D54" s="971"/>
      <c r="E54" s="971"/>
      <c r="F54" s="971"/>
      <c r="G54" s="971"/>
      <c r="H54" s="971"/>
      <c r="I54" s="971"/>
      <c r="J54" s="971"/>
      <c r="K54" s="971"/>
      <c r="L54" s="971"/>
      <c r="M54" s="1032"/>
      <c r="N54" s="1032"/>
      <c r="O54" s="1032"/>
      <c r="P54" s="971"/>
    </row>
    <row r="55" spans="2:29" x14ac:dyDescent="0.3">
      <c r="B55" s="34" t="s">
        <v>1247</v>
      </c>
      <c r="D55" s="1090">
        <v>2021</v>
      </c>
      <c r="E55" s="1090">
        <v>2022</v>
      </c>
      <c r="F55" s="1090">
        <v>2023</v>
      </c>
      <c r="G55" s="1091">
        <v>2024</v>
      </c>
    </row>
    <row r="56" spans="2:29" x14ac:dyDescent="0.3">
      <c r="B56" s="1087" t="s">
        <v>1248</v>
      </c>
      <c r="C56" s="89"/>
      <c r="D56" s="187">
        <v>3605.8330000000001</v>
      </c>
      <c r="E56" s="187">
        <v>2832.5949999999998</v>
      </c>
      <c r="F56" s="187">
        <v>2833.72</v>
      </c>
      <c r="G56" s="187">
        <v>2976.7339999999999</v>
      </c>
    </row>
    <row r="57" spans="2:29" x14ac:dyDescent="0.3">
      <c r="B57" s="1087" t="s">
        <v>1251</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x14ac:dyDescent="0.3">
      <c r="B58" s="1087" t="s">
        <v>1249</v>
      </c>
      <c r="C58" s="89"/>
      <c r="D58" s="187">
        <f>D56-D57</f>
        <v>2786.6080000000002</v>
      </c>
      <c r="E58" s="187">
        <f t="shared" ref="E58:G58" si="30">E56-E57</f>
        <v>1983.7093799779745</v>
      </c>
      <c r="F58" s="187">
        <f t="shared" si="30"/>
        <v>1933.9655634029502</v>
      </c>
      <c r="G58" s="187">
        <f t="shared" si="30"/>
        <v>2007.047540869675</v>
      </c>
    </row>
    <row r="59" spans="2:29" x14ac:dyDescent="0.3">
      <c r="B59" s="1087" t="s">
        <v>1252</v>
      </c>
      <c r="C59" s="89"/>
      <c r="D59" s="187">
        <f>AVERAGE(L12:O12)</f>
        <v>3605.85</v>
      </c>
      <c r="E59" s="187">
        <f>AVERAGE(P12:S12)</f>
        <v>2832.5682504927026</v>
      </c>
      <c r="F59" s="187">
        <f>AVERAGE(T12:W12)</f>
        <v>2833.3073615321164</v>
      </c>
      <c r="G59" s="187">
        <f>AVERAGE(X12:AA12)</f>
        <v>2977.2064126368209</v>
      </c>
    </row>
    <row r="60" spans="2:29" x14ac:dyDescent="0.3">
      <c r="B60" s="1087" t="s">
        <v>1251</v>
      </c>
      <c r="C60" s="89"/>
      <c r="D60" s="187">
        <f>AVERAGE(Medicare!L10:O10)</f>
        <v>819.22499999999991</v>
      </c>
      <c r="E60" s="187">
        <f>AVERAGE(Medicare!P10:S10)</f>
        <v>848.88562002202514</v>
      </c>
      <c r="F60" s="187">
        <f>AVERAGE(Medicare!T10:W10)</f>
        <v>899.75443659704956</v>
      </c>
      <c r="G60" s="187">
        <f>AVERAGE(Medicare!X10:AA10)</f>
        <v>969.68645913032492</v>
      </c>
    </row>
    <row r="61" spans="2:29" x14ac:dyDescent="0.3">
      <c r="B61" s="1087" t="s">
        <v>961</v>
      </c>
      <c r="C61" s="89"/>
      <c r="D61" s="187">
        <f>AVERAGE(L25:O25)</f>
        <v>1584.9757500000007</v>
      </c>
      <c r="E61" s="187">
        <f>AVERAGE(P25:S25)</f>
        <v>1668.7609300000013</v>
      </c>
      <c r="F61" s="187">
        <f>AVERAGE(T25:W25)</f>
        <v>1749.1308600000016</v>
      </c>
      <c r="G61" s="187">
        <f>AVERAGE(X25:AA25)</f>
        <v>1807.1497100000024</v>
      </c>
    </row>
    <row r="62" spans="2:29" x14ac:dyDescent="0.3">
      <c r="B62" s="1088" t="s">
        <v>1250</v>
      </c>
      <c r="C62" s="42"/>
      <c r="D62" s="1089"/>
      <c r="E62" s="1093">
        <v>1.157</v>
      </c>
      <c r="F62" s="1093">
        <v>1.0109999999999999</v>
      </c>
      <c r="G62" s="1093">
        <v>1.0529999999999999</v>
      </c>
      <c r="I62" s="34" t="s">
        <v>1259</v>
      </c>
    </row>
    <row r="63" spans="2:29" x14ac:dyDescent="0.3">
      <c r="B63" s="34" t="s">
        <v>1253</v>
      </c>
      <c r="D63" s="1096">
        <f>D59-D56</f>
        <v>1.6999999999825377E-2</v>
      </c>
      <c r="E63" s="1096">
        <f>E59-E56</f>
        <v>-2.6749507297154196E-2</v>
      </c>
      <c r="F63" s="1096">
        <f>F59-F56</f>
        <v>-0.41263846788342562</v>
      </c>
      <c r="G63" s="1096">
        <f t="shared" ref="G63" si="31">G59-G56</f>
        <v>0.47241263682099088</v>
      </c>
    </row>
  </sheetData>
  <mergeCells count="32">
    <mergeCell ref="B1:AC1"/>
    <mergeCell ref="B2:AC6"/>
    <mergeCell ref="B8:C10"/>
    <mergeCell ref="D8:O8"/>
    <mergeCell ref="P8:AC8"/>
    <mergeCell ref="E9:H9"/>
    <mergeCell ref="I9:L9"/>
    <mergeCell ref="M9:O9"/>
    <mergeCell ref="Q9:T9"/>
    <mergeCell ref="U9:X9"/>
    <mergeCell ref="Y9:AB9"/>
    <mergeCell ref="B11:C11"/>
    <mergeCell ref="B36:AC36"/>
    <mergeCell ref="B37:C39"/>
    <mergeCell ref="D37:O37"/>
    <mergeCell ref="P37:AC37"/>
    <mergeCell ref="E38:H38"/>
    <mergeCell ref="I38:L38"/>
    <mergeCell ref="M38:O38"/>
    <mergeCell ref="Q38:T38"/>
    <mergeCell ref="Y46:AB46"/>
    <mergeCell ref="B28:C28"/>
    <mergeCell ref="U38:X38"/>
    <mergeCell ref="Y38:AB38"/>
    <mergeCell ref="B45:C47"/>
    <mergeCell ref="D45:O45"/>
    <mergeCell ref="P45:AC45"/>
    <mergeCell ref="E46:H46"/>
    <mergeCell ref="I46:L46"/>
    <mergeCell ref="M46:O46"/>
    <mergeCell ref="Q46:T46"/>
    <mergeCell ref="U46:X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abSelected="1" topLeftCell="C6" zoomScale="56" zoomScaleNormal="88" workbookViewId="0">
      <selection activeCell="P87" sqref="P87"/>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52" t="s">
        <v>79</v>
      </c>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4:56" ht="14.15" customHeight="1" x14ac:dyDescent="0.3">
      <c r="D2" s="1171" t="s">
        <v>655</v>
      </c>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4:56" ht="28.5" customHeight="1" x14ac:dyDescent="0.3">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4:56" x14ac:dyDescent="0.3">
      <c r="D4" s="749" t="s">
        <v>465</v>
      </c>
    </row>
    <row r="5" spans="4:56" x14ac:dyDescent="0.3">
      <c r="D5" s="1157" t="s">
        <v>558</v>
      </c>
      <c r="E5" s="1158"/>
      <c r="F5" s="1267" t="s">
        <v>401</v>
      </c>
      <c r="G5" s="1268"/>
      <c r="H5" s="1268"/>
      <c r="I5" s="1268"/>
      <c r="J5" s="1268"/>
      <c r="K5" s="1268"/>
      <c r="L5" s="1268"/>
      <c r="M5" s="1269"/>
      <c r="N5" s="1269"/>
      <c r="O5" s="1174"/>
      <c r="P5" s="1210" t="s">
        <v>402</v>
      </c>
      <c r="Q5" s="1211"/>
      <c r="R5" s="1211"/>
      <c r="S5" s="1211"/>
      <c r="T5" s="1211"/>
      <c r="U5" s="1211"/>
      <c r="V5" s="1211"/>
      <c r="W5" s="1211"/>
      <c r="X5" s="1211"/>
      <c r="Y5" s="1211"/>
      <c r="Z5" s="1211"/>
      <c r="AA5" s="1211"/>
      <c r="AB5" s="1211"/>
      <c r="AC5" s="1212"/>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59"/>
      <c r="E6" s="1223"/>
      <c r="F6" s="1154">
        <v>2019</v>
      </c>
      <c r="G6" s="1155"/>
      <c r="H6" s="1156"/>
      <c r="I6" s="1155">
        <v>2020</v>
      </c>
      <c r="J6" s="1155"/>
      <c r="K6" s="1155"/>
      <c r="L6" s="1155"/>
      <c r="M6" s="1154">
        <v>2021</v>
      </c>
      <c r="N6" s="1155"/>
      <c r="O6" s="1156"/>
      <c r="P6" s="922">
        <v>2021</v>
      </c>
      <c r="Q6" s="1161">
        <v>2022</v>
      </c>
      <c r="R6" s="1162"/>
      <c r="S6" s="1162"/>
      <c r="T6" s="1163"/>
      <c r="U6" s="1233">
        <v>2023</v>
      </c>
      <c r="V6" s="1234"/>
      <c r="W6" s="1234"/>
      <c r="X6" s="1234"/>
      <c r="Y6" s="1161">
        <v>2024</v>
      </c>
      <c r="Z6" s="1162"/>
      <c r="AA6" s="1162"/>
      <c r="AB6" s="1162"/>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93"/>
      <c r="E7" s="1224"/>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3648.3</v>
      </c>
      <c r="O9" s="924">
        <f t="shared" si="0"/>
        <v>3739.4999999999995</v>
      </c>
      <c r="P9" s="319">
        <f t="shared" ref="P9:X9" si="1">SUM(P10:P12)</f>
        <v>3823.82252855863</v>
      </c>
      <c r="Q9" s="319">
        <f t="shared" si="1"/>
        <v>3910.556758267564</v>
      </c>
      <c r="R9" s="319">
        <f t="shared" si="1"/>
        <v>3999.7792623822525</v>
      </c>
      <c r="S9" s="319">
        <f t="shared" si="1"/>
        <v>4091.5691349349081</v>
      </c>
      <c r="T9" s="319">
        <f t="shared" si="1"/>
        <v>4097.0264369090428</v>
      </c>
      <c r="U9" s="319">
        <f t="shared" si="1"/>
        <v>4102.7754026569237</v>
      </c>
      <c r="V9" s="319">
        <f t="shared" si="1"/>
        <v>4108.8180240614884</v>
      </c>
      <c r="W9" s="319">
        <f t="shared" si="1"/>
        <v>4115.1563236452866</v>
      </c>
      <c r="X9" s="319">
        <f t="shared" si="1"/>
        <v>4167.1460361514019</v>
      </c>
      <c r="Y9" s="319">
        <f t="shared" ref="Y9:AC9" si="2">SUM(Y10:Y12)</f>
        <v>4219.9044796830367</v>
      </c>
      <c r="Z9" s="319">
        <f t="shared" si="2"/>
        <v>4273.4440710848967</v>
      </c>
      <c r="AA9" s="319">
        <f t="shared" si="2"/>
        <v>4327.777436302531</v>
      </c>
      <c r="AB9" s="319">
        <f t="shared" si="2"/>
        <v>4349.9506772075001</v>
      </c>
      <c r="AC9" s="925">
        <f t="shared" si="2"/>
        <v>4372.2767723476391</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x14ac:dyDescent="0.3">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1928.3</v>
      </c>
      <c r="O10" s="921">
        <f>'Haver Pivoted'!GZ27</f>
        <v>1994.3</v>
      </c>
      <c r="P10" s="643">
        <f t="shared" ref="P10:S13" si="3">O10*(1+$I29)^0.25</f>
        <v>2061.046260241309</v>
      </c>
      <c r="Q10" s="643">
        <f t="shared" si="3"/>
        <v>2130.0264187206972</v>
      </c>
      <c r="R10" s="643">
        <f t="shared" si="3"/>
        <v>2201.3152406957238</v>
      </c>
      <c r="S10" s="643">
        <f t="shared" si="3"/>
        <v>2274.9899937061218</v>
      </c>
      <c r="T10" s="643">
        <f t="shared" ref="T10:W13" si="4">S10*(1+$J29)^0.25</f>
        <v>2261.689927660299</v>
      </c>
      <c r="U10" s="643">
        <f t="shared" si="4"/>
        <v>2248.4676165748551</v>
      </c>
      <c r="V10" s="643">
        <f t="shared" si="4"/>
        <v>2235.3226058780729</v>
      </c>
      <c r="W10" s="643">
        <f t="shared" si="4"/>
        <v>2222.2544436557559</v>
      </c>
      <c r="X10" s="643">
        <f t="shared" ref="X10:AA13" si="5">W10*(1+$K29)^0.25</f>
        <v>2260.9136692765278</v>
      </c>
      <c r="Y10" s="643">
        <f t="shared" si="5"/>
        <v>2300.2454262223528</v>
      </c>
      <c r="Z10" s="643">
        <f t="shared" si="5"/>
        <v>2340.2614141166955</v>
      </c>
      <c r="AA10" s="643">
        <f t="shared" si="5"/>
        <v>2380.9735361143412</v>
      </c>
      <c r="AB10" s="643">
        <f t="shared" ref="AB10:AC13" si="6">AA10*(1+$L29)^0.25</f>
        <v>2387.7399756793657</v>
      </c>
      <c r="AC10" s="643">
        <f t="shared" si="6"/>
        <v>2394.5256446493763</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1542.2</v>
      </c>
      <c r="O11" s="921">
        <f>'Haver Pivoted'!GZ30</f>
        <v>1572.1</v>
      </c>
      <c r="P11" s="643">
        <f t="shared" si="3"/>
        <v>1587.5822543753138</v>
      </c>
      <c r="Q11" s="643">
        <f t="shared" si="3"/>
        <v>1603.2169800950346</v>
      </c>
      <c r="R11" s="643">
        <f t="shared" si="3"/>
        <v>1619.0056787176757</v>
      </c>
      <c r="S11" s="643">
        <f t="shared" si="3"/>
        <v>1634.9498665893027</v>
      </c>
      <c r="T11" s="643">
        <f t="shared" si="4"/>
        <v>1653.6501569618829</v>
      </c>
      <c r="U11" s="643">
        <f t="shared" si="4"/>
        <v>1672.5643382109756</v>
      </c>
      <c r="V11" s="643">
        <f t="shared" si="4"/>
        <v>1691.6948567856007</v>
      </c>
      <c r="W11" s="643">
        <f t="shared" si="4"/>
        <v>1711.0441871168639</v>
      </c>
      <c r="X11" s="643">
        <f t="shared" si="5"/>
        <v>1722.4761879000962</v>
      </c>
      <c r="Y11" s="643">
        <f t="shared" si="5"/>
        <v>1733.9845693185523</v>
      </c>
      <c r="Z11" s="643">
        <f t="shared" si="5"/>
        <v>1745.5698416942262</v>
      </c>
      <c r="AA11" s="643">
        <f t="shared" si="5"/>
        <v>1757.2325187587269</v>
      </c>
      <c r="AB11" s="643">
        <f t="shared" si="6"/>
        <v>1772.5538152730035</v>
      </c>
      <c r="AC11" s="643">
        <f t="shared" si="6"/>
        <v>1788.0086980511196</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173.1</v>
      </c>
      <c r="P12" s="643">
        <f t="shared" si="3"/>
        <v>175.19401394200702</v>
      </c>
      <c r="Q12" s="643">
        <f t="shared" si="3"/>
        <v>177.31335945183218</v>
      </c>
      <c r="R12" s="643">
        <f t="shared" si="3"/>
        <v>179.45834296885263</v>
      </c>
      <c r="S12" s="643">
        <f t="shared" si="3"/>
        <v>181.62927463948378</v>
      </c>
      <c r="T12" s="643">
        <f t="shared" si="4"/>
        <v>181.68635228686102</v>
      </c>
      <c r="U12" s="643">
        <f t="shared" si="4"/>
        <v>181.74344787109251</v>
      </c>
      <c r="V12" s="643">
        <f t="shared" si="4"/>
        <v>181.80056139781499</v>
      </c>
      <c r="W12" s="643">
        <f t="shared" si="4"/>
        <v>181.85769287266695</v>
      </c>
      <c r="X12" s="643">
        <f t="shared" si="5"/>
        <v>183.75617897477773</v>
      </c>
      <c r="Y12" s="643">
        <f t="shared" si="5"/>
        <v>185.67448414213109</v>
      </c>
      <c r="Z12" s="643">
        <f t="shared" si="5"/>
        <v>187.61281527397514</v>
      </c>
      <c r="AA12" s="643">
        <f t="shared" si="5"/>
        <v>189.57138142946303</v>
      </c>
      <c r="AB12" s="643">
        <f t="shared" si="6"/>
        <v>189.65688625513116</v>
      </c>
      <c r="AC12" s="643">
        <f t="shared" si="6"/>
        <v>189.74242964714384</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x14ac:dyDescent="0.3">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ht="14.5" x14ac:dyDescent="0.35">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2105.9</v>
      </c>
      <c r="P16" s="318">
        <f>SUM(P17:P19)</f>
        <v>2120.9227646076561</v>
      </c>
      <c r="Q16" s="318">
        <f t="shared" si="7"/>
        <v>2150.1214626082142</v>
      </c>
      <c r="R16" s="318">
        <f t="shared" si="7"/>
        <v>2178.3025304043881</v>
      </c>
      <c r="S16" s="318">
        <f t="shared" si="7"/>
        <v>2207.6291426343887</v>
      </c>
      <c r="T16" s="318">
        <f t="shared" si="7"/>
        <v>2234.5192049980928</v>
      </c>
      <c r="U16" s="318">
        <f t="shared" si="7"/>
        <v>2258.6479016494136</v>
      </c>
      <c r="V16" s="318">
        <f t="shared" si="7"/>
        <v>2281.4446722707116</v>
      </c>
      <c r="W16" s="318">
        <f t="shared" si="7"/>
        <v>2304.1429547281373</v>
      </c>
      <c r="X16" s="318">
        <f t="shared" si="7"/>
        <v>2325.6941437487076</v>
      </c>
      <c r="Y16" s="318">
        <f t="shared" ref="Y16" si="8">SUM(Y17:Y19)</f>
        <v>2346.2482634367179</v>
      </c>
      <c r="Z16" s="318">
        <f t="shared" ref="Z16" si="9">SUM(Z17:Z19)</f>
        <v>2366.7752749938418</v>
      </c>
      <c r="AA16" s="318">
        <f t="shared" ref="AA16" si="10">SUM(AA17:AA19)</f>
        <v>2388.1951121347661</v>
      </c>
      <c r="AB16" s="318">
        <f t="shared" ref="AB16" si="11">SUM(AB17:AB19)</f>
        <v>2408.6962876467583</v>
      </c>
      <c r="AC16" s="929">
        <f t="shared" ref="AC16" si="12">SUM(AC17:AC19)</f>
        <v>2430.550117671296</v>
      </c>
    </row>
    <row r="17" spans="4:29" x14ac:dyDescent="0.3">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597.70000000000005</v>
      </c>
      <c r="P17" s="317">
        <f t="shared" ref="P17:AC17" si="13">P110*P85</f>
        <v>602.47189037156625</v>
      </c>
      <c r="Q17" s="317">
        <f t="shared" si="13"/>
        <v>611.03943129934669</v>
      </c>
      <c r="R17" s="317">
        <f t="shared" si="13"/>
        <v>619.55797177307466</v>
      </c>
      <c r="S17" s="317">
        <f t="shared" si="13"/>
        <v>627.38673662437247</v>
      </c>
      <c r="T17" s="317">
        <f t="shared" si="13"/>
        <v>634.65765015261206</v>
      </c>
      <c r="U17" s="317">
        <f t="shared" si="13"/>
        <v>641.51394445425422</v>
      </c>
      <c r="V17" s="317">
        <f t="shared" si="13"/>
        <v>648.1629291425977</v>
      </c>
      <c r="W17" s="317">
        <f t="shared" si="13"/>
        <v>654.61591201473152</v>
      </c>
      <c r="X17" s="317">
        <f t="shared" si="13"/>
        <v>660.75604583406903</v>
      </c>
      <c r="Y17" s="317">
        <f t="shared" si="13"/>
        <v>666.85471773074698</v>
      </c>
      <c r="Z17" s="317">
        <f t="shared" si="13"/>
        <v>672.61792498045054</v>
      </c>
      <c r="AA17" s="317">
        <f t="shared" si="13"/>
        <v>678.74675100269917</v>
      </c>
      <c r="AB17" s="317">
        <f t="shared" si="13"/>
        <v>684.98488573014163</v>
      </c>
      <c r="AC17" s="930">
        <f t="shared" si="13"/>
        <v>691.51325391620207</v>
      </c>
    </row>
    <row r="18" spans="4:29" x14ac:dyDescent="0.3">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22.4</v>
      </c>
      <c r="P18" s="317">
        <f t="shared" ref="P18:AC18" si="14">P111*P88</f>
        <v>22.420170996446448</v>
      </c>
      <c r="Q18" s="317">
        <f t="shared" si="14"/>
        <v>22.739002875761301</v>
      </c>
      <c r="R18" s="317">
        <f t="shared" si="14"/>
        <v>23.020963041141783</v>
      </c>
      <c r="S18" s="317">
        <f t="shared" si="14"/>
        <v>23.274727189984215</v>
      </c>
      <c r="T18" s="317">
        <f t="shared" si="14"/>
        <v>23.513308868383085</v>
      </c>
      <c r="U18" s="317">
        <f t="shared" si="14"/>
        <v>23.73453915198931</v>
      </c>
      <c r="V18" s="317">
        <f t="shared" si="14"/>
        <v>23.949262662548293</v>
      </c>
      <c r="W18" s="317">
        <f t="shared" si="14"/>
        <v>24.168324021805436</v>
      </c>
      <c r="X18" s="317">
        <f t="shared" si="14"/>
        <v>24.391723229760739</v>
      </c>
      <c r="Y18" s="317">
        <f t="shared" si="14"/>
        <v>24.600590644577203</v>
      </c>
      <c r="Z18" s="317">
        <f t="shared" si="14"/>
        <v>24.819652003834346</v>
      </c>
      <c r="AA18" s="317">
        <f t="shared" si="14"/>
        <v>25.044135673964192</v>
      </c>
      <c r="AB18" s="317">
        <f t="shared" si="14"/>
        <v>25.265582850005323</v>
      </c>
      <c r="AC18" s="930">
        <f t="shared" si="14"/>
        <v>25.487246918481365</v>
      </c>
    </row>
    <row r="19" spans="4:29" x14ac:dyDescent="0.3">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1485.8</v>
      </c>
      <c r="P19" s="317">
        <f t="shared" ref="P19:AC19" si="15">P112*P89</f>
        <v>1496.0307032396431</v>
      </c>
      <c r="Q19" s="317">
        <f t="shared" si="15"/>
        <v>1516.3430284331062</v>
      </c>
      <c r="R19" s="317">
        <f t="shared" si="15"/>
        <v>1535.7235955901717</v>
      </c>
      <c r="S19" s="317">
        <f t="shared" si="15"/>
        <v>1556.9676788200322</v>
      </c>
      <c r="T19" s="317">
        <f t="shared" si="15"/>
        <v>1576.3482459770978</v>
      </c>
      <c r="U19" s="317">
        <f t="shared" si="15"/>
        <v>1593.39941804317</v>
      </c>
      <c r="V19" s="317">
        <f t="shared" si="15"/>
        <v>1609.3324804655654</v>
      </c>
      <c r="W19" s="317">
        <f t="shared" si="15"/>
        <v>1625.3587186916004</v>
      </c>
      <c r="X19" s="317">
        <f t="shared" si="15"/>
        <v>1640.5463746848777</v>
      </c>
      <c r="Y19" s="317">
        <f t="shared" si="15"/>
        <v>1654.792955061394</v>
      </c>
      <c r="Z19" s="317">
        <f t="shared" si="15"/>
        <v>1669.337698009557</v>
      </c>
      <c r="AA19" s="317">
        <f t="shared" si="15"/>
        <v>1684.4042254581027</v>
      </c>
      <c r="AB19" s="317">
        <f t="shared" si="15"/>
        <v>1698.4458190666114</v>
      </c>
      <c r="AC19" s="930">
        <f t="shared" si="15"/>
        <v>1713.5496168366128</v>
      </c>
    </row>
    <row r="20" spans="4:29" s="139" customFormat="1" ht="14.5" x14ac:dyDescent="0.3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ht="14.5" x14ac:dyDescent="0.35">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ht="14.5" x14ac:dyDescent="0.35">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ht="14.5" x14ac:dyDescent="0.35">
      <c r="D23" s="331" t="s">
        <v>1245</v>
      </c>
      <c r="E23" s="659"/>
      <c r="F23" s="660"/>
      <c r="G23" s="661">
        <v>2020</v>
      </c>
      <c r="H23" s="662">
        <v>2021</v>
      </c>
      <c r="I23" s="662">
        <v>2022</v>
      </c>
      <c r="J23" s="662">
        <v>2023</v>
      </c>
      <c r="K23" s="662">
        <v>2024</v>
      </c>
      <c r="L23" s="663">
        <v>2025</v>
      </c>
      <c r="M23" s="1270" t="s">
        <v>1246</v>
      </c>
      <c r="N23" s="1270"/>
      <c r="O23" s="1270"/>
      <c r="P23" s="1270"/>
      <c r="Q23" s="1270"/>
      <c r="R23" s="1270"/>
      <c r="S23" s="468"/>
      <c r="T23" s="468"/>
      <c r="U23" s="468"/>
      <c r="V23" s="468"/>
      <c r="W23" s="468"/>
      <c r="X23" s="468"/>
      <c r="Y23" s="468"/>
    </row>
    <row r="24" spans="4:29" s="139" customFormat="1" ht="14.5" x14ac:dyDescent="0.35">
      <c r="D24" s="331" t="s">
        <v>1245</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c r="U24" s="468"/>
      <c r="V24" s="468"/>
      <c r="W24" s="468"/>
      <c r="X24" s="468"/>
      <c r="Y24" s="468"/>
    </row>
    <row r="25" spans="4:29" s="139" customFormat="1" ht="14.5" x14ac:dyDescent="0.35">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1877.8500000000001</v>
      </c>
      <c r="N25" s="1083">
        <f>AVERAGE(P10:S10)</f>
        <v>2166.8444783409627</v>
      </c>
      <c r="O25" s="1083">
        <f>AVERAGE(T10:W10)</f>
        <v>2241.9336484422456</v>
      </c>
      <c r="P25" s="1083">
        <f t="shared" ref="P25:Q28" si="17">AVERAGE(X10:AA10)</f>
        <v>2320.5985114324794</v>
      </c>
      <c r="Q25" s="1083">
        <f t="shared" si="17"/>
        <v>2352.3050880331889</v>
      </c>
      <c r="R25" s="468"/>
      <c r="S25" s="468"/>
      <c r="T25" s="468"/>
      <c r="U25" s="468"/>
      <c r="V25" s="468"/>
      <c r="W25" s="468"/>
      <c r="X25" s="468"/>
      <c r="Y25" s="468"/>
    </row>
    <row r="26" spans="4:29" s="139" customFormat="1" ht="14.5" x14ac:dyDescent="0.35">
      <c r="D26" s="353" t="s">
        <v>675</v>
      </c>
      <c r="E26" s="1080"/>
      <c r="F26" s="1080"/>
      <c r="G26" s="306">
        <f>AVERAGE(H11:K11)</f>
        <v>1429.7250000000001</v>
      </c>
      <c r="H26" s="1081">
        <v>1529.57</v>
      </c>
      <c r="I26" s="1082">
        <v>1610.604</v>
      </c>
      <c r="J26" s="1082">
        <v>1682.3440000000001</v>
      </c>
      <c r="K26" s="1082">
        <v>1739.5340000000001</v>
      </c>
      <c r="L26" s="34">
        <v>1801</v>
      </c>
      <c r="M26" s="1083">
        <f>AVERAGE(L11:O11)</f>
        <v>1529.5500000000002</v>
      </c>
      <c r="N26" s="1083">
        <f>AVERAGE(P11:S11)</f>
        <v>1611.1886949443317</v>
      </c>
      <c r="O26" s="1083">
        <f>AVERAGE(T11:W11)</f>
        <v>1682.2383847688309</v>
      </c>
      <c r="P26" s="1083">
        <f t="shared" si="17"/>
        <v>1739.8157794179003</v>
      </c>
      <c r="Q26" s="1083">
        <f t="shared" si="17"/>
        <v>1752.3351862611271</v>
      </c>
      <c r="R26" s="468"/>
      <c r="S26" s="468"/>
      <c r="T26" s="468"/>
      <c r="U26" s="468"/>
      <c r="V26" s="468"/>
      <c r="W26" s="468"/>
      <c r="X26" s="468"/>
      <c r="Y26" s="468"/>
    </row>
    <row r="27" spans="4:29" s="139" customFormat="1" ht="14.5" x14ac:dyDescent="0.35">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168.42499999999998</v>
      </c>
      <c r="N27" s="1083">
        <f>AVERAGE(P12:S12)</f>
        <v>178.39874775054392</v>
      </c>
      <c r="O27" s="1083">
        <f>AVERAGE(T12:W12)</f>
        <v>181.77201360710885</v>
      </c>
      <c r="P27" s="1083">
        <f t="shared" si="17"/>
        <v>186.65371495508674</v>
      </c>
      <c r="Q27" s="1083">
        <f t="shared" si="17"/>
        <v>188.12889177517513</v>
      </c>
      <c r="R27" s="468"/>
      <c r="S27" s="468"/>
      <c r="T27" s="468"/>
      <c r="U27" s="468"/>
      <c r="V27" s="468"/>
      <c r="W27" s="468"/>
      <c r="X27" s="468"/>
      <c r="Y27" s="468"/>
    </row>
    <row r="28" spans="4:29" s="139" customFormat="1" ht="14.5" x14ac:dyDescent="0.35">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c r="U28" s="468"/>
      <c r="V28" s="468"/>
      <c r="W28" s="468"/>
      <c r="X28" s="468"/>
      <c r="Y28" s="468"/>
    </row>
    <row r="29" spans="4:29" s="139" customFormat="1" ht="14.5" x14ac:dyDescent="0.3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8">L25/K25-1</f>
        <v>1.1416067009409891E-2</v>
      </c>
      <c r="M29" s="1086">
        <f>M25/H25</f>
        <v>0.99997976450139747</v>
      </c>
      <c r="N29" s="1086">
        <f t="shared" ref="N29:N32" si="19">N25/I25</f>
        <v>1.0001100700085583</v>
      </c>
      <c r="O29" s="1086">
        <f t="shared" ref="O29:O32" si="20">O25/J25</f>
        <v>0.99994988882576263</v>
      </c>
      <c r="P29" s="1086">
        <f t="shared" ref="P29:P32" si="21">P25/K25</f>
        <v>0.99962674924346451</v>
      </c>
      <c r="Q29" s="1086"/>
      <c r="R29" s="468"/>
      <c r="S29" s="468"/>
      <c r="T29" s="468"/>
      <c r="U29" s="468"/>
      <c r="V29" s="468"/>
      <c r="W29" s="468"/>
      <c r="X29" s="468"/>
      <c r="Y29" s="468"/>
    </row>
    <row r="30" spans="4:29" s="139" customFormat="1" ht="14.5" x14ac:dyDescent="0.3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8"/>
        <v>3.5334750571129891E-2</v>
      </c>
      <c r="M30" s="1086">
        <f t="shared" ref="M30:M32" si="22">M26/H26</f>
        <v>0.99998692442974191</v>
      </c>
      <c r="N30" s="1086">
        <f t="shared" si="19"/>
        <v>1.0003630283696872</v>
      </c>
      <c r="O30" s="1086">
        <f t="shared" si="20"/>
        <v>0.99993722138208996</v>
      </c>
      <c r="P30" s="1086">
        <f t="shared" si="21"/>
        <v>1.0001619855765396</v>
      </c>
      <c r="Q30" s="1086"/>
      <c r="R30" s="468"/>
      <c r="S30" s="468"/>
      <c r="T30" s="468"/>
      <c r="U30" s="468"/>
      <c r="V30" s="468"/>
      <c r="W30" s="468"/>
      <c r="X30" s="468"/>
      <c r="Y30" s="468"/>
    </row>
    <row r="31" spans="4:29" s="139" customFormat="1" ht="14.5" x14ac:dyDescent="0.35">
      <c r="D31" s="353" t="s">
        <v>148</v>
      </c>
      <c r="E31"/>
      <c r="F31" s="352"/>
      <c r="G31" s="352"/>
      <c r="H31" s="1085">
        <f t="shared" ref="H31:H32" si="23">H27/G27-1</f>
        <v>3.1311801622531554E-2</v>
      </c>
      <c r="I31" s="1085">
        <f>I27/H27-1.01</f>
        <v>4.9273683648086264E-2</v>
      </c>
      <c r="J31" s="1085">
        <f>J27/I27-1.018</f>
        <v>1.2576069228742437E-3</v>
      </c>
      <c r="K31" s="1085">
        <f>K27/J27-1+0.016</f>
        <v>4.2416069592376524E-2</v>
      </c>
      <c r="L31" s="1085">
        <f t="shared" si="18"/>
        <v>1.8053926059260483E-3</v>
      </c>
      <c r="M31" s="1086">
        <f t="shared" si="22"/>
        <v>0.9999168838570639</v>
      </c>
      <c r="N31" s="1086">
        <f t="shared" si="19"/>
        <v>0.99986407442170522</v>
      </c>
      <c r="O31" s="1086">
        <f t="shared" si="20"/>
        <v>0.99952168222143989</v>
      </c>
      <c r="P31" s="1086">
        <f t="shared" si="21"/>
        <v>0.99995025771088397</v>
      </c>
      <c r="Q31" s="1086"/>
      <c r="R31" s="468"/>
      <c r="S31" s="468"/>
      <c r="T31" s="468"/>
      <c r="U31" s="468"/>
      <c r="V31" s="468"/>
      <c r="W31" s="468"/>
      <c r="X31" s="468"/>
      <c r="Y31" s="468"/>
    </row>
    <row r="32" spans="4:29" s="139" customFormat="1" ht="14.5" x14ac:dyDescent="0.35">
      <c r="D32" s="332" t="s">
        <v>379</v>
      </c>
      <c r="E32"/>
      <c r="F32" s="352"/>
      <c r="G32" s="352"/>
      <c r="H32" s="1085">
        <f t="shared" si="23"/>
        <v>0.33331446217189908</v>
      </c>
      <c r="I32" s="1085">
        <f>I28/H28-1.103</f>
        <v>5.4166403538907559E-2</v>
      </c>
      <c r="J32" s="1085">
        <f>J28/I28-1+0.047</f>
        <v>0.17918404224445333</v>
      </c>
      <c r="K32" s="1085">
        <f>K28/J28-1.091</f>
        <v>-8.7870994829186255E-2</v>
      </c>
      <c r="L32" s="1085">
        <f t="shared" si="18"/>
        <v>1.0376923461010934E-2</v>
      </c>
      <c r="M32" s="1086">
        <f t="shared" si="22"/>
        <v>1.0003503590255689</v>
      </c>
      <c r="N32" s="1086">
        <f t="shared" si="19"/>
        <v>0.99996495742667268</v>
      </c>
      <c r="O32" s="1086">
        <f t="shared" si="20"/>
        <v>0.9995643104466585</v>
      </c>
      <c r="P32" s="1086">
        <f t="shared" si="21"/>
        <v>1.0000344335672597</v>
      </c>
      <c r="Q32" s="1086"/>
      <c r="R32" s="468"/>
      <c r="S32" s="468"/>
      <c r="T32" s="468"/>
      <c r="U32" s="468"/>
      <c r="V32" s="468"/>
      <c r="W32" s="468"/>
      <c r="X32" s="468"/>
      <c r="Y32" s="468"/>
    </row>
    <row r="33" spans="4:40" s="139" customFormat="1" ht="14.5" x14ac:dyDescent="0.35">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ht="14.5" x14ac:dyDescent="0.35">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ht="14.5" x14ac:dyDescent="0.35">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x14ac:dyDescent="0.35">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65" customHeight="1" x14ac:dyDescent="0.3">
      <c r="D37" s="931" t="s">
        <v>666</v>
      </c>
      <c r="E37" s="659">
        <v>2018</v>
      </c>
      <c r="F37" s="704">
        <v>2019</v>
      </c>
      <c r="G37" s="704">
        <v>2020</v>
      </c>
      <c r="H37" s="932">
        <v>2021</v>
      </c>
      <c r="I37" s="933">
        <v>2022</v>
      </c>
      <c r="J37" s="933">
        <v>2023</v>
      </c>
      <c r="K37" s="933">
        <v>2024</v>
      </c>
      <c r="L37" s="617">
        <v>2025</v>
      </c>
      <c r="N37" s="644"/>
      <c r="O37" s="171"/>
    </row>
    <row r="38" spans="4:40" s="51" customFormat="1" ht="16.5" customHeight="1" x14ac:dyDescent="0.3">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x14ac:dyDescent="0.3">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x14ac:dyDescent="0.3">
      <c r="D40" s="41" t="s">
        <v>670</v>
      </c>
      <c r="E40" s="484">
        <f>E41+E42</f>
        <v>136.30000000000001</v>
      </c>
      <c r="F40" s="288">
        <f t="shared" ref="F40:G40" si="24">F41+F42</f>
        <v>170.6</v>
      </c>
      <c r="G40" s="891">
        <f t="shared" si="24"/>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x14ac:dyDescent="0.3">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x14ac:dyDescent="0.3">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x14ac:dyDescent="0.3">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x14ac:dyDescent="0.3">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x14ac:dyDescent="0.3">
      <c r="D45" s="331" t="s">
        <v>673</v>
      </c>
      <c r="E45" s="659">
        <v>2018</v>
      </c>
      <c r="F45" s="660">
        <v>2019</v>
      </c>
      <c r="G45" s="661">
        <v>2020</v>
      </c>
      <c r="H45" s="662">
        <v>2021</v>
      </c>
      <c r="I45" s="662">
        <v>2022</v>
      </c>
      <c r="J45" s="662">
        <v>2023</v>
      </c>
      <c r="K45" s="662">
        <v>2024</v>
      </c>
      <c r="L45" s="663">
        <v>2025</v>
      </c>
      <c r="O45" s="34" t="s">
        <v>674</v>
      </c>
    </row>
    <row r="46" spans="4:40" ht="14.5" customHeight="1" x14ac:dyDescent="0.3">
      <c r="D46" s="353" t="s">
        <v>667</v>
      </c>
      <c r="E46" s="43">
        <v>1622</v>
      </c>
      <c r="F46" s="43">
        <v>1687</v>
      </c>
      <c r="G46" s="306">
        <v>1695</v>
      </c>
      <c r="H46" s="664">
        <f>AVERAGE(L10:O10)</f>
        <v>1877.8500000000001</v>
      </c>
      <c r="I46" s="665">
        <f>AVERAGE(P10:S10)</f>
        <v>2166.8444783409627</v>
      </c>
      <c r="J46" s="665">
        <f>AVERAGE(T10:W10)</f>
        <v>2241.9336484422456</v>
      </c>
      <c r="K46" s="665">
        <f>AVERAGE(X10:AA10)</f>
        <v>2320.5985114324794</v>
      </c>
      <c r="L46" s="666"/>
    </row>
    <row r="47" spans="4:40" x14ac:dyDescent="0.3">
      <c r="D47" s="353" t="s">
        <v>675</v>
      </c>
      <c r="E47" s="43">
        <v>1332</v>
      </c>
      <c r="F47" s="43">
        <v>1388</v>
      </c>
      <c r="G47" s="306">
        <v>1414</v>
      </c>
      <c r="H47" s="645">
        <f>AVERAGE(L11:O11)</f>
        <v>1529.5500000000002</v>
      </c>
      <c r="I47" s="646">
        <f>AVERAGE(P11:S11)</f>
        <v>1611.1886949443317</v>
      </c>
      <c r="J47" s="646">
        <f>AVERAGE(T11:W11)</f>
        <v>1682.2383847688309</v>
      </c>
      <c r="K47" s="646">
        <f>AVERAGE(X11:AA11)</f>
        <v>1739.8157794179003</v>
      </c>
      <c r="L47" s="936"/>
      <c r="N47" s="368"/>
      <c r="O47" s="1262"/>
      <c r="P47" s="1262"/>
      <c r="Q47" s="1262"/>
      <c r="R47" s="1262"/>
    </row>
    <row r="48" spans="4:40" x14ac:dyDescent="0.3">
      <c r="D48" s="353" t="s">
        <v>148</v>
      </c>
      <c r="E48" s="43">
        <v>150</v>
      </c>
      <c r="F48" s="43">
        <v>175</v>
      </c>
      <c r="G48" s="265">
        <v>160</v>
      </c>
      <c r="H48" s="645">
        <f>AVERAGE(L12:O12)</f>
        <v>168.42499999999998</v>
      </c>
      <c r="I48" s="646">
        <f>AVERAGE(P12:S12)</f>
        <v>178.39874775054392</v>
      </c>
      <c r="J48" s="646">
        <f>AVERAGE(T12:W12)</f>
        <v>181.77201360710885</v>
      </c>
      <c r="K48" s="646">
        <f>AVERAGE(X12:AA12)</f>
        <v>186.65371495508674</v>
      </c>
      <c r="L48" s="936"/>
      <c r="N48" s="368"/>
      <c r="O48" s="1262" t="s">
        <v>676</v>
      </c>
      <c r="P48" s="1262"/>
      <c r="Q48" s="1262"/>
      <c r="R48" s="1262"/>
    </row>
    <row r="49" spans="4:20" x14ac:dyDescent="0.3">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4.5" x14ac:dyDescent="0.35">
      <c r="D50" s="309"/>
      <c r="E50" s="43"/>
      <c r="F50" s="43"/>
      <c r="G50" s="43"/>
      <c r="N50" s="34" t="s">
        <v>681</v>
      </c>
      <c r="O50">
        <v>2291.1</v>
      </c>
      <c r="P50">
        <v>2308.4</v>
      </c>
      <c r="Q50">
        <v>2338.6999999999998</v>
      </c>
      <c r="R50">
        <v>2350.6</v>
      </c>
    </row>
    <row r="51" spans="4:20" x14ac:dyDescent="0.3">
      <c r="D51" s="54" t="s">
        <v>682</v>
      </c>
      <c r="E51" s="43"/>
      <c r="F51" s="43"/>
      <c r="G51" s="43"/>
      <c r="P51" s="34">
        <f>P50/O50</f>
        <v>1.0075509580550828</v>
      </c>
      <c r="Q51" s="34">
        <f>Q50/P50</f>
        <v>1.0131259747010914</v>
      </c>
      <c r="R51" s="34">
        <f>R50/Q50</f>
        <v>1.0050882969170907</v>
      </c>
    </row>
    <row r="52" spans="4:20" x14ac:dyDescent="0.3">
      <c r="D52" s="937" t="s">
        <v>683</v>
      </c>
      <c r="E52" s="660">
        <v>2018</v>
      </c>
      <c r="F52" s="660">
        <v>2019</v>
      </c>
      <c r="G52" s="661">
        <v>2020</v>
      </c>
      <c r="H52" s="676">
        <v>2021</v>
      </c>
      <c r="I52" s="677">
        <v>2022</v>
      </c>
      <c r="J52" s="677">
        <v>2023</v>
      </c>
      <c r="K52" s="677">
        <v>2024</v>
      </c>
      <c r="L52" s="678">
        <v>2025</v>
      </c>
    </row>
    <row r="53" spans="4:20" x14ac:dyDescent="0.3">
      <c r="D53" s="353" t="s">
        <v>667</v>
      </c>
      <c r="E53" s="284">
        <f t="shared" ref="E53:G55" si="25">E46/E38</f>
        <v>0.96346896346896349</v>
      </c>
      <c r="F53" s="284">
        <f t="shared" si="25"/>
        <v>0.98201292275452579</v>
      </c>
      <c r="G53" s="284">
        <f t="shared" si="25"/>
        <v>1.0534493474207582</v>
      </c>
      <c r="H53" s="671">
        <f t="shared" ref="H53:K53" si="26">H46/H38</f>
        <v>0.96217499661828432</v>
      </c>
      <c r="I53" s="672">
        <f t="shared" si="26"/>
        <v>0.93088908149879279</v>
      </c>
      <c r="J53" s="672">
        <f t="shared" si="26"/>
        <v>0.96070532446286361</v>
      </c>
      <c r="K53" s="672">
        <f t="shared" si="26"/>
        <v>0.98608890164110852</v>
      </c>
      <c r="L53" s="746"/>
      <c r="T53" s="171"/>
    </row>
    <row r="54" spans="4:20" x14ac:dyDescent="0.3">
      <c r="D54" s="353" t="s">
        <v>675</v>
      </c>
      <c r="E54" s="284">
        <f t="shared" si="25"/>
        <v>1.1377808148970701</v>
      </c>
      <c r="F54" s="284">
        <f t="shared" si="25"/>
        <v>1.1162940324915553</v>
      </c>
      <c r="G54" s="284">
        <f t="shared" si="25"/>
        <v>1.0793893129770993</v>
      </c>
      <c r="H54" s="673">
        <f t="shared" ref="H54:K54" si="27">H47/H39</f>
        <v>1.1367529688757627</v>
      </c>
      <c r="I54" s="670">
        <f t="shared" si="27"/>
        <v>1.1580921067363681</v>
      </c>
      <c r="J54" s="670">
        <f t="shared" si="27"/>
        <v>1.1185452625940395</v>
      </c>
      <c r="K54" s="670">
        <f t="shared" si="27"/>
        <v>1.1227790688064758</v>
      </c>
      <c r="L54" s="936"/>
    </row>
    <row r="55" spans="4:20" x14ac:dyDescent="0.3">
      <c r="D55" s="353" t="s">
        <v>148</v>
      </c>
      <c r="E55" s="284">
        <f t="shared" si="25"/>
        <v>1.1005135730007336</v>
      </c>
      <c r="F55" s="284">
        <f t="shared" si="25"/>
        <v>1.0257913247362251</v>
      </c>
      <c r="G55" s="284">
        <f t="shared" si="25"/>
        <v>1.0256410256410255</v>
      </c>
      <c r="H55" s="673">
        <f t="shared" ref="H55:K55" si="28">H48/H40</f>
        <v>1.0796474358974357</v>
      </c>
      <c r="I55" s="670">
        <f t="shared" si="28"/>
        <v>1.0252801594858847</v>
      </c>
      <c r="J55" s="670">
        <f t="shared" si="28"/>
        <v>1.0269605288537222</v>
      </c>
      <c r="K55" s="670">
        <f t="shared" si="28"/>
        <v>1.0312359942269986</v>
      </c>
      <c r="L55" s="936"/>
    </row>
    <row r="56" spans="4:20" x14ac:dyDescent="0.3">
      <c r="D56" s="332" t="s">
        <v>379</v>
      </c>
      <c r="E56" s="295">
        <f>E49/E43</f>
        <v>1.0161211529066927</v>
      </c>
      <c r="F56" s="295">
        <f>F49/F43</f>
        <v>0.95134665508253702</v>
      </c>
      <c r="G56" s="295">
        <f>G49/G43</f>
        <v>0.92924528301886788</v>
      </c>
      <c r="H56" s="674">
        <f t="shared" ref="H56:K56" si="29">H49/H43</f>
        <v>1.0871091038988581</v>
      </c>
      <c r="I56" s="675">
        <f t="shared" si="29"/>
        <v>0.94654668333583991</v>
      </c>
      <c r="J56" s="675">
        <f t="shared" si="29"/>
        <v>0.89468428866418093</v>
      </c>
      <c r="K56" s="675">
        <f t="shared" si="29"/>
        <v>0.87402862139577153</v>
      </c>
      <c r="L56" s="669"/>
    </row>
    <row r="58" spans="4:20" x14ac:dyDescent="0.3">
      <c r="D58" s="309"/>
      <c r="E58" s="43"/>
      <c r="F58" s="43"/>
      <c r="G58" s="43"/>
    </row>
    <row r="59" spans="4:20" x14ac:dyDescent="0.3">
      <c r="D59" s="34" t="s">
        <v>684</v>
      </c>
    </row>
    <row r="60" spans="4:20" x14ac:dyDescent="0.3">
      <c r="D60" s="331" t="s">
        <v>685</v>
      </c>
      <c r="E60" s="659">
        <v>2018</v>
      </c>
      <c r="F60" s="704">
        <v>2019</v>
      </c>
      <c r="G60" s="704">
        <v>2020</v>
      </c>
      <c r="H60" s="705">
        <v>2021</v>
      </c>
      <c r="I60" s="706">
        <v>2022</v>
      </c>
      <c r="J60" s="706">
        <v>2023</v>
      </c>
      <c r="K60" s="706">
        <v>2024</v>
      </c>
      <c r="L60" s="707">
        <v>2025</v>
      </c>
    </row>
    <row r="61" spans="4:20" x14ac:dyDescent="0.3">
      <c r="D61" s="714" t="s">
        <v>686</v>
      </c>
      <c r="E61" s="484">
        <v>14016.099999999999</v>
      </c>
      <c r="F61" s="288">
        <v>14604.2</v>
      </c>
      <c r="G61" s="358">
        <v>14711.300000000001</v>
      </c>
      <c r="H61" s="357">
        <v>15405.2</v>
      </c>
      <c r="I61" s="357">
        <v>16319.2</v>
      </c>
      <c r="J61" s="357">
        <v>17105.099999999999</v>
      </c>
      <c r="K61" s="357">
        <v>17768.5</v>
      </c>
      <c r="L61" s="310">
        <v>18434.599999999999</v>
      </c>
    </row>
    <row r="62" spans="4:20" x14ac:dyDescent="0.3">
      <c r="D62" s="714" t="s">
        <v>687</v>
      </c>
      <c r="E62" s="144">
        <v>8804</v>
      </c>
      <c r="F62" s="43">
        <v>9209</v>
      </c>
      <c r="G62" s="358">
        <v>9300</v>
      </c>
      <c r="H62" s="357">
        <v>9843</v>
      </c>
      <c r="I62" s="357">
        <v>10541</v>
      </c>
      <c r="J62" s="357">
        <v>10992</v>
      </c>
      <c r="K62" s="357">
        <v>11395</v>
      </c>
      <c r="L62" s="310">
        <v>11808</v>
      </c>
    </row>
    <row r="63" spans="4:20" x14ac:dyDescent="0.3">
      <c r="D63" s="714" t="s">
        <v>688</v>
      </c>
      <c r="E63" s="144">
        <v>13844</v>
      </c>
      <c r="F63" s="43">
        <v>14403</v>
      </c>
      <c r="G63" s="358">
        <v>14201</v>
      </c>
      <c r="H63" s="357">
        <v>15238</v>
      </c>
      <c r="I63" s="357">
        <v>16381</v>
      </c>
      <c r="J63" s="357">
        <v>17184</v>
      </c>
      <c r="K63" s="357">
        <v>17840</v>
      </c>
      <c r="L63" s="310">
        <v>18477</v>
      </c>
    </row>
    <row r="64" spans="4:20" x14ac:dyDescent="0.3">
      <c r="D64" s="715" t="s">
        <v>689</v>
      </c>
      <c r="E64" s="637">
        <v>2211</v>
      </c>
      <c r="F64" s="638">
        <v>2243</v>
      </c>
      <c r="G64" s="639">
        <v>2125</v>
      </c>
      <c r="H64" s="640">
        <v>2616</v>
      </c>
      <c r="I64" s="640">
        <v>2996</v>
      </c>
      <c r="J64" s="640">
        <v>2989</v>
      </c>
      <c r="K64" s="640">
        <v>2967</v>
      </c>
      <c r="L64" s="641">
        <v>3017</v>
      </c>
    </row>
    <row r="65" spans="4:25" s="51" customFormat="1" x14ac:dyDescent="0.3"/>
    <row r="67" spans="4:25" x14ac:dyDescent="0.3">
      <c r="D67" s="34" t="s">
        <v>690</v>
      </c>
    </row>
    <row r="68" spans="4:25" x14ac:dyDescent="0.3">
      <c r="D68" s="331" t="s">
        <v>691</v>
      </c>
      <c r="E68" s="243">
        <v>2018</v>
      </c>
      <c r="F68" s="532">
        <v>2019</v>
      </c>
      <c r="G68" s="532">
        <v>2020</v>
      </c>
      <c r="H68" s="700">
        <v>2021</v>
      </c>
      <c r="I68" s="533">
        <v>2022</v>
      </c>
      <c r="J68" s="533">
        <v>2023</v>
      </c>
      <c r="K68" s="533">
        <v>2024</v>
      </c>
      <c r="L68" s="701">
        <v>2025</v>
      </c>
    </row>
    <row r="69" spans="4:25" x14ac:dyDescent="0.3">
      <c r="D69" s="716" t="s">
        <v>667</v>
      </c>
      <c r="E69" s="708">
        <f>E38/E61</f>
        <v>0.12011187134794987</v>
      </c>
      <c r="F69" s="709">
        <f t="shared" ref="F69:L69" si="30">F38/F61</f>
        <v>0.11763054463784391</v>
      </c>
      <c r="G69" s="711">
        <f t="shared" si="30"/>
        <v>0.10937170746297063</v>
      </c>
      <c r="H69" s="635">
        <f t="shared" si="30"/>
        <v>0.12668916989068627</v>
      </c>
      <c r="I69" s="635">
        <f t="shared" si="30"/>
        <v>0.14263658757782244</v>
      </c>
      <c r="J69" s="635">
        <f t="shared" si="30"/>
        <v>0.1364290767081163</v>
      </c>
      <c r="K69" s="635">
        <f t="shared" si="30"/>
        <v>0.13244426935306863</v>
      </c>
      <c r="L69" s="703">
        <f t="shared" si="30"/>
        <v>0.12927728293534985</v>
      </c>
    </row>
    <row r="70" spans="4:25" x14ac:dyDescent="0.3">
      <c r="D70" s="716" t="s">
        <v>669</v>
      </c>
      <c r="E70" s="710">
        <f t="shared" ref="E70:L70" si="31">E39/E62</f>
        <v>0.13297364834166289</v>
      </c>
      <c r="F70" s="356">
        <f t="shared" si="31"/>
        <v>0.13502008904332718</v>
      </c>
      <c r="G70" s="938">
        <f t="shared" si="31"/>
        <v>0.14086021505376345</v>
      </c>
      <c r="H70" s="360">
        <f t="shared" si="31"/>
        <v>0.13670049781570659</v>
      </c>
      <c r="I70" s="360">
        <f t="shared" si="31"/>
        <v>0.13198406223318471</v>
      </c>
      <c r="J70" s="360">
        <f t="shared" si="31"/>
        <v>0.13682241630276565</v>
      </c>
      <c r="K70" s="360">
        <f t="shared" si="31"/>
        <v>0.13598613426941641</v>
      </c>
      <c r="L70" s="939">
        <f t="shared" si="31"/>
        <v>0.13452642276422766</v>
      </c>
    </row>
    <row r="71" spans="4:25" x14ac:dyDescent="0.3">
      <c r="D71" s="714" t="s">
        <v>692</v>
      </c>
      <c r="E71" s="710">
        <f t="shared" ref="E71:L71" si="32">E40/E63</f>
        <v>9.8454203987286912E-3</v>
      </c>
      <c r="F71" s="356">
        <f t="shared" si="32"/>
        <v>1.1844754565021176E-2</v>
      </c>
      <c r="G71" s="938">
        <f t="shared" si="32"/>
        <v>1.0985141891416098E-2</v>
      </c>
      <c r="H71" s="360">
        <f t="shared" si="32"/>
        <v>1.0237563984774906E-2</v>
      </c>
      <c r="I71" s="360">
        <f t="shared" si="32"/>
        <v>1.0622062145168183E-2</v>
      </c>
      <c r="J71" s="360">
        <f t="shared" si="32"/>
        <v>1.0300279329608938E-2</v>
      </c>
      <c r="K71" s="360">
        <f t="shared" si="32"/>
        <v>1.0145739910313901E-2</v>
      </c>
      <c r="L71" s="939">
        <f t="shared" si="32"/>
        <v>9.7959625480326887E-3</v>
      </c>
    </row>
    <row r="72" spans="4:25" x14ac:dyDescent="0.3">
      <c r="D72" s="717" t="s">
        <v>149</v>
      </c>
      <c r="E72" s="636">
        <f>E43/E64</f>
        <v>9.258254183627318E-2</v>
      </c>
      <c r="F72" s="278">
        <f t="shared" ref="F72:L72" si="33">F43/F64</f>
        <v>0.10263040570664288</v>
      </c>
      <c r="G72" s="712">
        <f t="shared" si="33"/>
        <v>9.9764705882352936E-2</v>
      </c>
      <c r="H72" s="280">
        <f t="shared" si="33"/>
        <v>9.112691131498471E-2</v>
      </c>
      <c r="I72" s="280">
        <f t="shared" si="33"/>
        <v>0.10570660881174899</v>
      </c>
      <c r="J72" s="280">
        <f t="shared" si="33"/>
        <v>0.12686249581799933</v>
      </c>
      <c r="K72" s="280">
        <f t="shared" si="33"/>
        <v>0.13129457364341085</v>
      </c>
      <c r="L72" s="281">
        <f t="shared" si="33"/>
        <v>0.13338780245276766</v>
      </c>
    </row>
    <row r="74" spans="4:25" x14ac:dyDescent="0.3">
      <c r="D74" s="34" t="s">
        <v>693</v>
      </c>
    </row>
    <row r="75" spans="4:25" x14ac:dyDescent="0.3">
      <c r="D75" s="749" t="s">
        <v>484</v>
      </c>
    </row>
    <row r="76" spans="4:25" x14ac:dyDescent="0.3">
      <c r="D76" s="331" t="s">
        <v>694</v>
      </c>
      <c r="E76" s="660">
        <v>2018</v>
      </c>
      <c r="F76" s="704">
        <v>2019</v>
      </c>
      <c r="G76" s="704">
        <v>2020</v>
      </c>
      <c r="H76" s="705">
        <v>2021</v>
      </c>
      <c r="I76" s="706">
        <v>2022</v>
      </c>
      <c r="J76" s="706">
        <v>2023</v>
      </c>
      <c r="K76" s="706">
        <v>2024</v>
      </c>
      <c r="L76" s="707">
        <v>2025</v>
      </c>
    </row>
    <row r="77" spans="4:25" ht="20.149999999999999" customHeight="1" x14ac:dyDescent="0.3">
      <c r="D77" s="354" t="s">
        <v>667</v>
      </c>
      <c r="E77" s="708">
        <f t="shared" ref="E77:G80" si="34">E69*E53</f>
        <v>0.11572406018792676</v>
      </c>
      <c r="F77" s="709">
        <f t="shared" si="34"/>
        <v>0.11551471494501581</v>
      </c>
      <c r="G77" s="709">
        <f t="shared" si="34"/>
        <v>0.11521755385316049</v>
      </c>
      <c r="H77" s="702">
        <f>N96</f>
        <v>0.12373270706604039</v>
      </c>
      <c r="I77" s="635">
        <f>H77</f>
        <v>0.12373270706604039</v>
      </c>
      <c r="J77" s="635">
        <f t="shared" ref="J77:L77" si="35">I77</f>
        <v>0.12373270706604039</v>
      </c>
      <c r="K77" s="635">
        <f t="shared" si="35"/>
        <v>0.12373270706604039</v>
      </c>
      <c r="L77" s="703">
        <f t="shared" si="35"/>
        <v>0.12373270706604039</v>
      </c>
      <c r="M77" s="721"/>
      <c r="N77" s="720"/>
      <c r="O77" s="311"/>
      <c r="P77" s="311"/>
      <c r="Q77" s="311"/>
      <c r="R77" s="311"/>
      <c r="S77" s="311"/>
      <c r="T77" s="311"/>
      <c r="U77" s="311"/>
      <c r="V77" s="311"/>
      <c r="W77" s="311"/>
      <c r="X77" s="311"/>
      <c r="Y77" s="311"/>
    </row>
    <row r="78" spans="4:25" ht="18.649999999999999" customHeight="1" x14ac:dyDescent="0.3">
      <c r="D78" s="354" t="s">
        <v>669</v>
      </c>
      <c r="E78" s="710">
        <f t="shared" si="34"/>
        <v>0.15129486597001363</v>
      </c>
      <c r="F78" s="356">
        <f t="shared" si="34"/>
        <v>0.15072211966554458</v>
      </c>
      <c r="G78" s="356">
        <f t="shared" si="34"/>
        <v>0.1520430107526882</v>
      </c>
      <c r="H78" s="359">
        <f>N97</f>
        <v>0.15287773349987116</v>
      </c>
      <c r="I78" s="360">
        <f>H78</f>
        <v>0.15287773349987116</v>
      </c>
      <c r="J78" s="360">
        <f>I78</f>
        <v>0.15287773349987116</v>
      </c>
      <c r="K78" s="360">
        <f t="shared" ref="K78:L78" si="36">J78</f>
        <v>0.15287773349987116</v>
      </c>
      <c r="L78" s="939">
        <f t="shared" si="36"/>
        <v>0.15287773349987116</v>
      </c>
      <c r="M78" s="721"/>
      <c r="N78" s="720"/>
      <c r="O78" s="311"/>
      <c r="P78" s="311"/>
      <c r="Q78" s="311"/>
      <c r="R78" s="311"/>
      <c r="S78" s="311"/>
      <c r="T78" s="311"/>
      <c r="U78" s="311"/>
      <c r="V78" s="311"/>
      <c r="W78" s="311"/>
      <c r="X78" s="311"/>
      <c r="Y78" s="311"/>
    </row>
    <row r="79" spans="4:25" ht="19" customHeight="1" x14ac:dyDescent="0.3">
      <c r="D79" s="353" t="s">
        <v>148</v>
      </c>
      <c r="E79" s="710">
        <f t="shared" si="34"/>
        <v>1.0835018780699219E-2</v>
      </c>
      <c r="F79" s="356">
        <f t="shared" si="34"/>
        <v>1.2150246476428523E-2</v>
      </c>
      <c r="G79" s="356">
        <f t="shared" si="34"/>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x14ac:dyDescent="0.3">
      <c r="D80" s="355" t="s">
        <v>149</v>
      </c>
      <c r="E80" s="636">
        <f t="shared" si="34"/>
        <v>9.4075079149706017E-2</v>
      </c>
      <c r="F80" s="278">
        <f t="shared" si="34"/>
        <v>9.7637093178778417E-2</v>
      </c>
      <c r="G80" s="278">
        <f t="shared" si="34"/>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x14ac:dyDescent="0.3">
      <c r="E81" s="642"/>
      <c r="F81" s="642"/>
      <c r="G81" s="642"/>
      <c r="H81" s="642"/>
      <c r="I81" s="642"/>
      <c r="J81" s="642"/>
      <c r="K81" s="642"/>
      <c r="L81" s="642"/>
    </row>
    <row r="82" spans="4:32" x14ac:dyDescent="0.3">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x14ac:dyDescent="0.3">
      <c r="D83" s="1263" t="s">
        <v>695</v>
      </c>
      <c r="E83" s="1264"/>
      <c r="F83" s="1154">
        <v>2019</v>
      </c>
      <c r="G83" s="1155"/>
      <c r="H83" s="1156"/>
      <c r="I83" s="1155">
        <v>2020</v>
      </c>
      <c r="J83" s="1155"/>
      <c r="K83" s="1155"/>
      <c r="L83" s="1155"/>
      <c r="M83" s="1154">
        <v>2021</v>
      </c>
      <c r="N83" s="1155"/>
      <c r="O83" s="1156"/>
      <c r="P83" s="818">
        <v>2021</v>
      </c>
      <c r="Q83" s="1161">
        <v>2022</v>
      </c>
      <c r="R83" s="1162"/>
      <c r="S83" s="1162"/>
      <c r="T83" s="1163"/>
      <c r="U83" s="1233">
        <v>2023</v>
      </c>
      <c r="V83" s="1234"/>
      <c r="W83" s="1234"/>
      <c r="X83" s="1234"/>
      <c r="Y83" s="1161">
        <v>2024</v>
      </c>
      <c r="Z83" s="1162"/>
      <c r="AA83" s="1162"/>
      <c r="AB83" s="1162"/>
      <c r="AC83" s="322">
        <v>2025</v>
      </c>
    </row>
    <row r="84" spans="4:32" x14ac:dyDescent="0.3">
      <c r="D84" s="1265"/>
      <c r="E84" s="1266"/>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x14ac:dyDescent="0.3">
      <c r="D85" s="940" t="s">
        <v>686</v>
      </c>
      <c r="E85" s="536"/>
      <c r="F85" s="722">
        <f>F86+F87</f>
        <v>14660.3</v>
      </c>
      <c r="G85" s="723">
        <f t="shared" ref="G85:AC85" si="37">G86+G87</f>
        <v>14748</v>
      </c>
      <c r="H85" s="723">
        <f t="shared" si="37"/>
        <v>14896.1</v>
      </c>
      <c r="I85" s="723">
        <f t="shared" si="37"/>
        <v>15018.7</v>
      </c>
      <c r="J85" s="723">
        <f t="shared" si="37"/>
        <v>14127</v>
      </c>
      <c r="K85" s="723">
        <f t="shared" si="37"/>
        <v>14803.099999999999</v>
      </c>
      <c r="L85" s="723">
        <f t="shared" si="37"/>
        <v>15014.2</v>
      </c>
      <c r="M85" s="723">
        <f t="shared" si="37"/>
        <v>15152.900000000001</v>
      </c>
      <c r="N85" s="723">
        <f t="shared" si="37"/>
        <v>15654.4</v>
      </c>
      <c r="O85" s="724">
        <f t="shared" si="37"/>
        <v>15799.3</v>
      </c>
      <c r="P85" s="734">
        <f t="shared" si="37"/>
        <v>15983.8</v>
      </c>
      <c r="Q85" s="734">
        <f t="shared" si="37"/>
        <v>16211.099999999999</v>
      </c>
      <c r="R85" s="734">
        <f t="shared" si="37"/>
        <v>16437.099999999999</v>
      </c>
      <c r="S85" s="734">
        <f t="shared" si="37"/>
        <v>16644.8</v>
      </c>
      <c r="T85" s="734">
        <f t="shared" si="37"/>
        <v>16837.7</v>
      </c>
      <c r="U85" s="734">
        <f t="shared" si="37"/>
        <v>17019.599999999999</v>
      </c>
      <c r="V85" s="734">
        <f t="shared" si="37"/>
        <v>17196</v>
      </c>
      <c r="W85" s="734">
        <f t="shared" si="37"/>
        <v>17367.2</v>
      </c>
      <c r="X85" s="734">
        <f t="shared" si="37"/>
        <v>17530.099999999999</v>
      </c>
      <c r="Y85" s="734">
        <f t="shared" si="37"/>
        <v>17691.900000000001</v>
      </c>
      <c r="Z85" s="734">
        <f t="shared" si="37"/>
        <v>17844.8</v>
      </c>
      <c r="AA85" s="734">
        <f t="shared" si="37"/>
        <v>18007.400000000001</v>
      </c>
      <c r="AB85" s="734">
        <f t="shared" si="37"/>
        <v>18172.900000000001</v>
      </c>
      <c r="AC85" s="735">
        <f t="shared" si="37"/>
        <v>18346.099999999999</v>
      </c>
    </row>
    <row r="86" spans="4:32" ht="28" x14ac:dyDescent="0.3">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28" x14ac:dyDescent="0.3">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x14ac:dyDescent="0.3">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x14ac:dyDescent="0.3">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x14ac:dyDescent="0.3">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x14ac:dyDescent="0.3">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x14ac:dyDescent="0.3">
      <c r="D92" s="51"/>
    </row>
    <row r="93" spans="4:32" ht="14.5" customHeight="1" x14ac:dyDescent="0.3">
      <c r="D93" s="1263" t="s">
        <v>700</v>
      </c>
      <c r="E93" s="1264"/>
      <c r="F93" s="1154">
        <v>2019</v>
      </c>
      <c r="G93" s="1155"/>
      <c r="H93" s="1156"/>
      <c r="I93" s="1155">
        <v>2020</v>
      </c>
      <c r="J93" s="1155"/>
      <c r="K93" s="1155"/>
      <c r="L93" s="1155"/>
      <c r="M93" s="1154">
        <v>2021</v>
      </c>
      <c r="N93" s="1155"/>
      <c r="O93" s="1156"/>
      <c r="P93" s="818">
        <v>2021</v>
      </c>
      <c r="Q93" s="1161">
        <v>2022</v>
      </c>
      <c r="R93" s="1162"/>
      <c r="S93" s="1162"/>
      <c r="T93" s="1163"/>
      <c r="U93" s="1233">
        <v>2023</v>
      </c>
      <c r="V93" s="1234"/>
      <c r="W93" s="1234"/>
      <c r="X93" s="1234"/>
      <c r="Y93" s="1161">
        <v>2024</v>
      </c>
      <c r="Z93" s="1162"/>
      <c r="AA93" s="1162"/>
      <c r="AB93" s="1162"/>
      <c r="AC93" s="322">
        <v>2025</v>
      </c>
      <c r="AD93" s="52"/>
      <c r="AE93" s="52"/>
      <c r="AF93" s="52"/>
    </row>
    <row r="94" spans="4:32" x14ac:dyDescent="0.3">
      <c r="D94" s="1273"/>
      <c r="E94" s="1274"/>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x14ac:dyDescent="0.3">
      <c r="D95" s="1271" t="s">
        <v>701</v>
      </c>
      <c r="E95" s="1272"/>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x14ac:dyDescent="0.3">
      <c r="D96" s="142" t="s">
        <v>657</v>
      </c>
      <c r="F96" s="871"/>
      <c r="G96" s="283"/>
      <c r="H96" s="283">
        <f t="shared" ref="H96:N96" si="38">H10/H101</f>
        <v>0.11691183930201886</v>
      </c>
      <c r="I96" s="283">
        <f t="shared" si="38"/>
        <v>0.11632374399271765</v>
      </c>
      <c r="J96" s="283">
        <f t="shared" si="38"/>
        <v>0.11234318837285294</v>
      </c>
      <c r="K96" s="283">
        <f t="shared" si="38"/>
        <v>0.11273203252694187</v>
      </c>
      <c r="L96" s="283">
        <f t="shared" si="38"/>
        <v>0.11471728519817445</v>
      </c>
      <c r="M96" s="283">
        <f t="shared" si="38"/>
        <v>0.12169301738753303</v>
      </c>
      <c r="N96" s="283">
        <f t="shared" si="38"/>
        <v>0.12373270706604039</v>
      </c>
      <c r="O96" s="941">
        <f>O10/O101</f>
        <v>0.12576621345508665</v>
      </c>
      <c r="P96" s="406"/>
      <c r="Q96" s="406"/>
      <c r="R96" s="406"/>
      <c r="S96" s="406"/>
      <c r="T96" s="406"/>
      <c r="U96" s="406"/>
      <c r="V96" s="406"/>
      <c r="W96" s="406"/>
      <c r="X96" s="406"/>
      <c r="Y96" s="406"/>
      <c r="Z96" s="406"/>
      <c r="AA96" s="406"/>
      <c r="AB96" s="406"/>
      <c r="AC96" s="407"/>
    </row>
    <row r="97" spans="4:30" x14ac:dyDescent="0.3">
      <c r="D97" s="142" t="s">
        <v>658</v>
      </c>
      <c r="F97" s="871"/>
      <c r="G97" s="283"/>
      <c r="H97" s="283">
        <f t="shared" ref="H97:N98" si="39">H11/H106</f>
        <v>0.15050223685321179</v>
      </c>
      <c r="I97" s="283">
        <f t="shared" si="39"/>
        <v>0.15157126064930876</v>
      </c>
      <c r="J97" s="283">
        <f t="shared" si="39"/>
        <v>0.15486484381085924</v>
      </c>
      <c r="K97" s="283">
        <f t="shared" si="39"/>
        <v>0.15330544288475015</v>
      </c>
      <c r="L97" s="283">
        <f t="shared" si="39"/>
        <v>0.15177048544085955</v>
      </c>
      <c r="M97" s="283">
        <f t="shared" si="39"/>
        <v>0.15350775174199291</v>
      </c>
      <c r="N97" s="283">
        <f t="shared" si="39"/>
        <v>0.15287773349987116</v>
      </c>
      <c r="O97" s="941">
        <f t="shared" ref="O97" si="40">O11/O106</f>
        <v>0.15222169505310959</v>
      </c>
      <c r="P97" s="406"/>
      <c r="Q97" s="406"/>
      <c r="R97" s="406"/>
      <c r="S97" s="406"/>
      <c r="T97" s="406"/>
      <c r="U97" s="406"/>
      <c r="V97" s="406"/>
      <c r="W97" s="406"/>
      <c r="X97" s="406"/>
      <c r="Y97" s="406"/>
      <c r="Z97" s="406"/>
      <c r="AA97" s="406"/>
      <c r="AB97" s="406"/>
      <c r="AC97" s="407"/>
    </row>
    <row r="98" spans="4:30" x14ac:dyDescent="0.3">
      <c r="D98" s="142" t="s">
        <v>659</v>
      </c>
      <c r="F98" s="871"/>
      <c r="G98" s="283"/>
      <c r="H98" s="283">
        <f t="shared" si="39"/>
        <v>1.2140112870976327E-2</v>
      </c>
      <c r="I98" s="283">
        <f t="shared" si="39"/>
        <v>1.2867838023145487E-2</v>
      </c>
      <c r="J98" s="283">
        <f t="shared" si="39"/>
        <v>1.0646897156978221E-2</v>
      </c>
      <c r="K98" s="283">
        <f t="shared" si="39"/>
        <v>1.0585008884971108E-2</v>
      </c>
      <c r="L98" s="283">
        <f t="shared" si="39"/>
        <v>1.0824186458016532E-2</v>
      </c>
      <c r="M98" s="283">
        <f t="shared" si="39"/>
        <v>1.1076012635451236E-2</v>
      </c>
      <c r="N98" s="283">
        <f t="shared" si="39"/>
        <v>1.1338056460715356E-2</v>
      </c>
      <c r="O98" s="941">
        <f t="shared" ref="O98" si="41">O12/O107</f>
        <v>1.0855250780750272E-2</v>
      </c>
      <c r="P98" s="406"/>
      <c r="Q98" s="406"/>
      <c r="R98" s="406"/>
      <c r="S98" s="406"/>
      <c r="T98" s="406"/>
      <c r="U98" s="406"/>
      <c r="V98" s="406"/>
      <c r="W98" s="406"/>
      <c r="X98" s="406"/>
      <c r="Y98" s="406"/>
      <c r="Z98" s="406"/>
      <c r="AA98" s="406"/>
      <c r="AB98" s="406"/>
      <c r="AC98" s="407"/>
    </row>
    <row r="99" spans="4:30" x14ac:dyDescent="0.3">
      <c r="D99" s="90" t="s">
        <v>660</v>
      </c>
      <c r="F99" s="871"/>
      <c r="G99" s="283"/>
      <c r="H99" s="283">
        <f t="shared" ref="H99:M99" si="42">H13/H108</f>
        <v>0.12172540768016833</v>
      </c>
      <c r="I99" s="283">
        <f t="shared" si="42"/>
        <v>9.8615712257453844E-2</v>
      </c>
      <c r="J99" s="283">
        <f t="shared" si="42"/>
        <v>0.10910512937495927</v>
      </c>
      <c r="K99" s="283">
        <f t="shared" si="42"/>
        <v>0.10686521958606764</v>
      </c>
      <c r="L99" s="283">
        <f t="shared" si="42"/>
        <v>0.11540630607536528</v>
      </c>
      <c r="M99" s="283">
        <f t="shared" si="42"/>
        <v>0.11817745803357314</v>
      </c>
      <c r="N99" s="283">
        <f>N13/N108</f>
        <v>0.11661721068249259</v>
      </c>
      <c r="O99" s="283"/>
      <c r="P99" s="406"/>
      <c r="Q99" s="406"/>
      <c r="R99" s="406"/>
      <c r="S99" s="406"/>
      <c r="T99" s="406"/>
      <c r="U99" s="406"/>
      <c r="V99" s="406"/>
      <c r="W99" s="406"/>
      <c r="X99" s="406"/>
      <c r="Y99" s="406"/>
      <c r="Z99" s="406"/>
      <c r="AA99" s="406"/>
      <c r="AB99" s="406"/>
      <c r="AC99" s="407"/>
    </row>
    <row r="100" spans="4:30" x14ac:dyDescent="0.3">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x14ac:dyDescent="0.3">
      <c r="D101" s="161" t="s">
        <v>703</v>
      </c>
      <c r="F101" s="872">
        <f>SUM(F102:F105)</f>
        <v>14523.5</v>
      </c>
      <c r="G101" s="757">
        <f t="shared" ref="G101:O101" si="43">SUM(G102:G105)</f>
        <v>14614</v>
      </c>
      <c r="H101" s="757">
        <f t="shared" si="43"/>
        <v>14785.5</v>
      </c>
      <c r="I101" s="757">
        <f t="shared" si="43"/>
        <v>14940.199999999999</v>
      </c>
      <c r="J101" s="757">
        <f t="shared" si="43"/>
        <v>14077.4</v>
      </c>
      <c r="K101" s="757">
        <f t="shared" si="43"/>
        <v>14744.7</v>
      </c>
      <c r="L101" s="757">
        <f t="shared" si="43"/>
        <v>15140.7</v>
      </c>
      <c r="M101" s="757">
        <f t="shared" si="43"/>
        <v>15217.8</v>
      </c>
      <c r="N101" s="757">
        <f t="shared" si="43"/>
        <v>15584.4</v>
      </c>
      <c r="O101" s="942">
        <f t="shared" si="43"/>
        <v>15857.2</v>
      </c>
      <c r="P101" s="406"/>
      <c r="Q101" s="406"/>
      <c r="R101" s="406"/>
      <c r="S101" s="406"/>
      <c r="T101" s="406"/>
      <c r="U101" s="406"/>
      <c r="V101" s="406"/>
      <c r="W101" s="406"/>
      <c r="X101" s="406"/>
      <c r="Y101" s="406"/>
      <c r="Z101" s="406"/>
      <c r="AA101" s="406"/>
      <c r="AB101" s="406"/>
      <c r="AC101" s="407"/>
    </row>
    <row r="102" spans="4:30" x14ac:dyDescent="0.3">
      <c r="D102" s="733" t="s">
        <v>1216</v>
      </c>
      <c r="E102" s="34" t="s">
        <v>1212</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10087.799999999999</v>
      </c>
      <c r="O102" s="974">
        <f>'Haver Pivoted'!GZ81</f>
        <v>10327.700000000001</v>
      </c>
      <c r="P102" s="873"/>
      <c r="Q102" s="406"/>
      <c r="R102" s="406"/>
      <c r="S102" s="406"/>
      <c r="T102" s="406"/>
      <c r="U102" s="406"/>
      <c r="V102" s="406"/>
      <c r="W102" s="406"/>
      <c r="X102" s="406"/>
      <c r="Y102" s="406"/>
      <c r="Z102" s="406"/>
      <c r="AA102" s="406"/>
      <c r="AB102" s="406"/>
      <c r="AC102" s="407"/>
    </row>
    <row r="103" spans="4:30" x14ac:dyDescent="0.3">
      <c r="D103" s="733" t="s">
        <v>704</v>
      </c>
      <c r="E103" s="34" t="s">
        <v>1213</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1850.6</v>
      </c>
      <c r="P103" s="406"/>
      <c r="Q103" s="406"/>
      <c r="R103" s="406"/>
      <c r="S103" s="406"/>
      <c r="T103" s="406"/>
      <c r="U103" s="406"/>
      <c r="V103" s="406"/>
      <c r="W103" s="406"/>
      <c r="X103" s="406"/>
      <c r="Y103" s="406"/>
      <c r="Z103" s="406"/>
      <c r="AA103" s="406"/>
      <c r="AB103" s="406"/>
      <c r="AC103" s="407"/>
    </row>
    <row r="104" spans="4:30" x14ac:dyDescent="0.3">
      <c r="D104" s="733" t="s">
        <v>705</v>
      </c>
      <c r="E104" s="34" t="s">
        <v>1221</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729.3</v>
      </c>
      <c r="P104" s="406"/>
      <c r="Q104" s="406"/>
      <c r="R104" s="406"/>
      <c r="S104" s="406"/>
      <c r="T104" s="406"/>
      <c r="U104" s="406"/>
      <c r="V104" s="406"/>
      <c r="W104" s="406"/>
      <c r="X104" s="406"/>
      <c r="Y104" s="406"/>
      <c r="Z104" s="406"/>
      <c r="AA104" s="406"/>
      <c r="AB104" s="406"/>
      <c r="AC104" s="407"/>
    </row>
    <row r="105" spans="4:30" x14ac:dyDescent="0.3">
      <c r="D105" s="733" t="s">
        <v>706</v>
      </c>
      <c r="E105" s="34" t="s">
        <v>1215</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2949.6</v>
      </c>
      <c r="P105" s="406"/>
      <c r="Q105" s="406"/>
      <c r="R105" s="406"/>
      <c r="S105" s="406"/>
      <c r="T105" s="406"/>
      <c r="U105" s="406"/>
      <c r="V105" s="406"/>
      <c r="W105" s="406"/>
      <c r="X105" s="406"/>
      <c r="Y105" s="406"/>
      <c r="Z105" s="406"/>
      <c r="AA105" s="406"/>
      <c r="AB105" s="406"/>
      <c r="AC105" s="407"/>
    </row>
    <row r="106" spans="4:30" x14ac:dyDescent="0.3">
      <c r="D106" s="161" t="s">
        <v>687</v>
      </c>
      <c r="F106" s="872">
        <f>F102</f>
        <v>9287.2000000000007</v>
      </c>
      <c r="G106" s="975">
        <f t="shared" ref="G106:O106" si="44">G102</f>
        <v>9338.7000000000007</v>
      </c>
      <c r="H106" s="975">
        <f t="shared" si="44"/>
        <v>9477.6</v>
      </c>
      <c r="I106" s="975">
        <f t="shared" si="44"/>
        <v>9613.2999999999993</v>
      </c>
      <c r="J106" s="975">
        <f t="shared" si="44"/>
        <v>8985.9</v>
      </c>
      <c r="K106" s="975">
        <f t="shared" si="44"/>
        <v>9417.7999999999993</v>
      </c>
      <c r="L106" s="975">
        <f t="shared" si="44"/>
        <v>9791.1</v>
      </c>
      <c r="M106" s="975">
        <f t="shared" si="44"/>
        <v>9888.1</v>
      </c>
      <c r="N106" s="975">
        <f t="shared" si="44"/>
        <v>10087.799999999999</v>
      </c>
      <c r="O106" s="975">
        <f t="shared" si="44"/>
        <v>10327.700000000001</v>
      </c>
      <c r="P106" s="406"/>
      <c r="Q106" s="406"/>
      <c r="R106" s="406"/>
      <c r="S106" s="406"/>
      <c r="T106" s="406"/>
      <c r="U106" s="406"/>
      <c r="V106" s="406"/>
      <c r="W106" s="406"/>
      <c r="X106" s="406"/>
      <c r="Y106" s="406"/>
      <c r="Z106" s="406"/>
      <c r="AA106" s="406"/>
      <c r="AB106" s="406"/>
      <c r="AC106" s="407"/>
    </row>
    <row r="107" spans="4:30" x14ac:dyDescent="0.3">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15946.2</v>
      </c>
      <c r="P107" s="406"/>
      <c r="Q107" s="406"/>
      <c r="R107" s="406"/>
      <c r="S107" s="406"/>
      <c r="T107" s="406"/>
      <c r="U107" s="406"/>
      <c r="V107" s="406"/>
      <c r="W107" s="406"/>
      <c r="X107" s="406"/>
      <c r="Y107" s="406"/>
      <c r="Z107" s="406"/>
      <c r="AA107" s="406"/>
      <c r="AB107" s="406"/>
      <c r="AC107" s="407"/>
    </row>
    <row r="108" spans="4:30" x14ac:dyDescent="0.3">
      <c r="D108" s="161" t="s">
        <v>707</v>
      </c>
      <c r="E108" s="34" t="s">
        <v>1214</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x14ac:dyDescent="0.3">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x14ac:dyDescent="0.3">
      <c r="D110" s="714" t="s">
        <v>661</v>
      </c>
      <c r="F110" s="710">
        <f>F17/F101</f>
        <v>3.5866010259235033E-2</v>
      </c>
      <c r="G110" s="356">
        <f t="shared" ref="G110:O110" si="45">G17/G101</f>
        <v>3.4035856028465851E-2</v>
      </c>
      <c r="H110" s="356">
        <f t="shared" si="45"/>
        <v>3.3458455919651006E-2</v>
      </c>
      <c r="I110" s="356">
        <f t="shared" si="45"/>
        <v>3.3721101457811813E-2</v>
      </c>
      <c r="J110" s="356">
        <f t="shared" si="45"/>
        <v>3.6761049625641098E-2</v>
      </c>
      <c r="K110" s="356">
        <f t="shared" si="45"/>
        <v>3.5239781073877395E-2</v>
      </c>
      <c r="L110" s="356">
        <f t="shared" si="45"/>
        <v>3.4529447119353789E-2</v>
      </c>
      <c r="M110" s="356">
        <f t="shared" si="45"/>
        <v>3.6812154187858957E-2</v>
      </c>
      <c r="N110" s="356">
        <f t="shared" si="45"/>
        <v>3.7627370960704294E-2</v>
      </c>
      <c r="O110" s="941">
        <f t="shared" si="45"/>
        <v>3.7692656963398331E-2</v>
      </c>
      <c r="P110" s="742">
        <f t="shared" ref="P110:AC112" si="46">O110</f>
        <v>3.7692656963398331E-2</v>
      </c>
      <c r="Q110" s="742">
        <f t="shared" si="46"/>
        <v>3.7692656963398331E-2</v>
      </c>
      <c r="R110" s="742">
        <f t="shared" si="46"/>
        <v>3.7692656963398331E-2</v>
      </c>
      <c r="S110" s="742">
        <f t="shared" si="46"/>
        <v>3.7692656963398331E-2</v>
      </c>
      <c r="T110" s="742">
        <f t="shared" si="46"/>
        <v>3.7692656963398331E-2</v>
      </c>
      <c r="U110" s="742">
        <f t="shared" si="46"/>
        <v>3.7692656963398331E-2</v>
      </c>
      <c r="V110" s="742">
        <f t="shared" si="46"/>
        <v>3.7692656963398331E-2</v>
      </c>
      <c r="W110" s="742">
        <f t="shared" si="46"/>
        <v>3.7692656963398331E-2</v>
      </c>
      <c r="X110" s="742">
        <f t="shared" si="46"/>
        <v>3.7692656963398331E-2</v>
      </c>
      <c r="Y110" s="742">
        <f t="shared" si="46"/>
        <v>3.7692656963398331E-2</v>
      </c>
      <c r="Z110" s="742">
        <f t="shared" si="46"/>
        <v>3.7692656963398331E-2</v>
      </c>
      <c r="AA110" s="742">
        <f t="shared" si="46"/>
        <v>3.7692656963398331E-2</v>
      </c>
      <c r="AB110" s="742">
        <f t="shared" si="46"/>
        <v>3.7692656963398331E-2</v>
      </c>
      <c r="AC110" s="943">
        <f t="shared" si="46"/>
        <v>3.7692656963398331E-2</v>
      </c>
      <c r="AD110" s="745"/>
    </row>
    <row r="111" spans="4:30" x14ac:dyDescent="0.3">
      <c r="D111" s="714" t="s">
        <v>658</v>
      </c>
      <c r="F111" s="710">
        <f>F18/F106</f>
        <v>2.2073391334309586E-3</v>
      </c>
      <c r="G111" s="356">
        <f t="shared" ref="G111:M111" si="47">G18/G106</f>
        <v>2.1737500936961245E-3</v>
      </c>
      <c r="H111" s="356">
        <f t="shared" si="47"/>
        <v>2.1313412678315184E-3</v>
      </c>
      <c r="I111" s="356">
        <f t="shared" si="47"/>
        <v>2.0908532969947887E-3</v>
      </c>
      <c r="J111" s="356">
        <f t="shared" si="47"/>
        <v>2.1255522540869587E-3</v>
      </c>
      <c r="K111" s="356">
        <f t="shared" si="47"/>
        <v>2.1130200259083863E-3</v>
      </c>
      <c r="L111" s="356">
        <f t="shared" si="47"/>
        <v>2.0937381908059361E-3</v>
      </c>
      <c r="M111" s="356">
        <f t="shared" si="47"/>
        <v>2.1439912622242896E-3</v>
      </c>
      <c r="N111" s="356">
        <f>N18/N106</f>
        <v>2.1709391542258966E-3</v>
      </c>
      <c r="O111" s="941">
        <f>O18/O106</f>
        <v>2.1689243490806277E-3</v>
      </c>
      <c r="P111" s="742">
        <f t="shared" si="46"/>
        <v>2.1689243490806277E-3</v>
      </c>
      <c r="Q111" s="742">
        <f t="shared" si="46"/>
        <v>2.1689243490806277E-3</v>
      </c>
      <c r="R111" s="742">
        <f t="shared" si="46"/>
        <v>2.1689243490806277E-3</v>
      </c>
      <c r="S111" s="742">
        <f t="shared" si="46"/>
        <v>2.1689243490806277E-3</v>
      </c>
      <c r="T111" s="742">
        <f t="shared" si="46"/>
        <v>2.1689243490806277E-3</v>
      </c>
      <c r="U111" s="742">
        <f t="shared" si="46"/>
        <v>2.1689243490806277E-3</v>
      </c>
      <c r="V111" s="742">
        <f t="shared" si="46"/>
        <v>2.1689243490806277E-3</v>
      </c>
      <c r="W111" s="742">
        <f t="shared" si="46"/>
        <v>2.1689243490806277E-3</v>
      </c>
      <c r="X111" s="742">
        <f t="shared" si="46"/>
        <v>2.1689243490806277E-3</v>
      </c>
      <c r="Y111" s="742">
        <f t="shared" si="46"/>
        <v>2.1689243490806277E-3</v>
      </c>
      <c r="Z111" s="742">
        <f t="shared" si="46"/>
        <v>2.1689243490806277E-3</v>
      </c>
      <c r="AA111" s="742">
        <f t="shared" si="46"/>
        <v>2.1689243490806277E-3</v>
      </c>
      <c r="AB111" s="742">
        <f t="shared" si="46"/>
        <v>2.1689243490806277E-3</v>
      </c>
      <c r="AC111" s="943">
        <f t="shared" si="46"/>
        <v>2.1689243490806277E-3</v>
      </c>
      <c r="AD111" s="745"/>
    </row>
    <row r="112" spans="4:30" x14ac:dyDescent="0.3">
      <c r="D112" s="714" t="s">
        <v>659</v>
      </c>
      <c r="F112" s="710">
        <f>F19/F107</f>
        <v>9.3818040165000657E-2</v>
      </c>
      <c r="G112" s="356">
        <f t="shared" ref="G112:M112" si="48">G19/G107</f>
        <v>9.4435458893974325E-2</v>
      </c>
      <c r="H112" s="356">
        <f t="shared" si="48"/>
        <v>9.406369635387167E-2</v>
      </c>
      <c r="I112" s="356">
        <f t="shared" si="48"/>
        <v>9.635642110657866E-2</v>
      </c>
      <c r="J112" s="356">
        <f t="shared" si="48"/>
        <v>0.10178833999245555</v>
      </c>
      <c r="K112" s="356">
        <f t="shared" si="48"/>
        <v>9.7433852439519242E-2</v>
      </c>
      <c r="L112" s="356">
        <f t="shared" si="48"/>
        <v>9.6795598440653607E-2</v>
      </c>
      <c r="M112" s="356">
        <f t="shared" si="48"/>
        <v>9.4226078611699793E-2</v>
      </c>
      <c r="N112" s="356">
        <f>N19/N107</f>
        <v>9.3006498019985076E-2</v>
      </c>
      <c r="O112" s="941">
        <f>O19/O107</f>
        <v>9.3175803639738611E-2</v>
      </c>
      <c r="P112" s="742">
        <f t="shared" si="46"/>
        <v>9.3175803639738611E-2</v>
      </c>
      <c r="Q112" s="742">
        <f t="shared" si="46"/>
        <v>9.3175803639738611E-2</v>
      </c>
      <c r="R112" s="742">
        <f t="shared" si="46"/>
        <v>9.3175803639738611E-2</v>
      </c>
      <c r="S112" s="742">
        <f t="shared" si="46"/>
        <v>9.3175803639738611E-2</v>
      </c>
      <c r="T112" s="742">
        <f t="shared" si="46"/>
        <v>9.3175803639738611E-2</v>
      </c>
      <c r="U112" s="742">
        <f t="shared" si="46"/>
        <v>9.3175803639738611E-2</v>
      </c>
      <c r="V112" s="742">
        <f t="shared" si="46"/>
        <v>9.3175803639738611E-2</v>
      </c>
      <c r="W112" s="742">
        <f t="shared" si="46"/>
        <v>9.3175803639738611E-2</v>
      </c>
      <c r="X112" s="742">
        <f t="shared" si="46"/>
        <v>9.3175803639738611E-2</v>
      </c>
      <c r="Y112" s="742">
        <f t="shared" si="46"/>
        <v>9.3175803639738611E-2</v>
      </c>
      <c r="Z112" s="742">
        <f t="shared" si="46"/>
        <v>9.3175803639738611E-2</v>
      </c>
      <c r="AA112" s="742">
        <f t="shared" si="46"/>
        <v>9.3175803639738611E-2</v>
      </c>
      <c r="AB112" s="742">
        <f t="shared" si="46"/>
        <v>9.3175803639738611E-2</v>
      </c>
      <c r="AC112" s="943">
        <f t="shared" si="46"/>
        <v>9.3175803639738611E-2</v>
      </c>
      <c r="AD112" s="745"/>
    </row>
    <row r="113" spans="4:30" x14ac:dyDescent="0.3">
      <c r="D113" s="715" t="s">
        <v>709</v>
      </c>
      <c r="E113" s="42"/>
      <c r="F113" s="636">
        <f>F20/F108</f>
        <v>3.9179807330068352E-2</v>
      </c>
      <c r="G113" s="278">
        <f t="shared" ref="G113:L113" si="49">G20/G108</f>
        <v>3.9315871564567305E-2</v>
      </c>
      <c r="H113" s="278">
        <f t="shared" si="49"/>
        <v>3.8085218306154661E-2</v>
      </c>
      <c r="I113" s="278">
        <f>I20/I108</f>
        <v>3.9339801230477991E-2</v>
      </c>
      <c r="J113" s="278">
        <f t="shared" si="49"/>
        <v>4.0344130874014207E-2</v>
      </c>
      <c r="K113" s="278">
        <f t="shared" si="49"/>
        <v>3.8768298838970212E-2</v>
      </c>
      <c r="L113" s="278">
        <f t="shared" si="49"/>
        <v>4.039989746218918E-2</v>
      </c>
      <c r="M113" s="278">
        <f>M20/M108</f>
        <v>4.100719424460432E-2</v>
      </c>
      <c r="N113" s="278">
        <f t="shared" ref="N113:O113" si="50">N20/N108</f>
        <v>3.8957185247986435E-2</v>
      </c>
      <c r="O113" s="278" t="e">
        <f t="shared" si="50"/>
        <v>#DIV/0!</v>
      </c>
      <c r="P113" s="743">
        <v>4.0300000000000002E-2</v>
      </c>
      <c r="Q113" s="743">
        <f t="shared" ref="Q113:AC113" si="51">P113</f>
        <v>4.0300000000000002E-2</v>
      </c>
      <c r="R113" s="743">
        <f t="shared" si="51"/>
        <v>4.0300000000000002E-2</v>
      </c>
      <c r="S113" s="743">
        <f t="shared" si="51"/>
        <v>4.0300000000000002E-2</v>
      </c>
      <c r="T113" s="743">
        <f t="shared" si="51"/>
        <v>4.0300000000000002E-2</v>
      </c>
      <c r="U113" s="743">
        <f t="shared" si="51"/>
        <v>4.0300000000000002E-2</v>
      </c>
      <c r="V113" s="743">
        <f t="shared" si="51"/>
        <v>4.0300000000000002E-2</v>
      </c>
      <c r="W113" s="743">
        <f t="shared" si="51"/>
        <v>4.0300000000000002E-2</v>
      </c>
      <c r="X113" s="743">
        <f t="shared" si="51"/>
        <v>4.0300000000000002E-2</v>
      </c>
      <c r="Y113" s="743">
        <f t="shared" si="51"/>
        <v>4.0300000000000002E-2</v>
      </c>
      <c r="Z113" s="743">
        <f t="shared" si="51"/>
        <v>4.0300000000000002E-2</v>
      </c>
      <c r="AA113" s="743">
        <f t="shared" si="51"/>
        <v>4.0300000000000002E-2</v>
      </c>
      <c r="AB113" s="743">
        <f t="shared" si="51"/>
        <v>4.0300000000000002E-2</v>
      </c>
      <c r="AC113" s="744">
        <f t="shared" si="51"/>
        <v>4.0300000000000002E-2</v>
      </c>
      <c r="AD113" s="745"/>
    </row>
    <row r="115" spans="4:30" ht="18.649999999999999" customHeight="1" x14ac:dyDescent="0.3"/>
  </sheetData>
  <mergeCells count="29">
    <mergeCell ref="Y93:AB93"/>
    <mergeCell ref="F93:H93"/>
    <mergeCell ref="I93:L93"/>
    <mergeCell ref="D93:E94"/>
    <mergeCell ref="M93:O93"/>
    <mergeCell ref="D95:E95"/>
    <mergeCell ref="Q93:T93"/>
    <mergeCell ref="U93:X93"/>
    <mergeCell ref="O47:R47"/>
    <mergeCell ref="I83:L83"/>
    <mergeCell ref="Q83:T83"/>
    <mergeCell ref="U83:X83"/>
    <mergeCell ref="M83:O83"/>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defaultColWidth="10.9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1212</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1213</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1221</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1215</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1214</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1217</v>
      </c>
      <c r="GY86">
        <v>21.4</v>
      </c>
      <c r="GZ86">
        <v>57</v>
      </c>
    </row>
    <row r="87" spans="1:208" x14ac:dyDescent="0.35">
      <c r="A87" t="s">
        <v>1218</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76" t="s">
        <v>952</v>
      </c>
      <c r="B7" s="1277"/>
      <c r="C7" s="1277"/>
      <c r="D7" s="1277"/>
      <c r="E7" s="1277"/>
      <c r="F7" s="1277"/>
      <c r="G7" s="1277"/>
      <c r="H7" s="1277"/>
      <c r="I7" s="1277"/>
      <c r="J7" s="1277"/>
      <c r="K7" s="1277"/>
      <c r="L7" s="1277"/>
      <c r="M7" s="1277"/>
      <c r="N7" s="1277"/>
      <c r="O7" s="1277"/>
      <c r="P7" s="1277"/>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78" t="s">
        <v>437</v>
      </c>
      <c r="P10" s="1278"/>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81" t="s">
        <v>979</v>
      </c>
      <c r="B38" s="1281"/>
      <c r="C38" s="1281"/>
      <c r="D38" s="1281"/>
      <c r="E38" s="1281"/>
      <c r="F38" s="1281"/>
      <c r="G38" s="1281"/>
      <c r="H38" s="1281"/>
      <c r="I38" s="1281"/>
      <c r="J38" s="1281"/>
      <c r="K38" s="1281"/>
      <c r="L38" s="1281"/>
      <c r="M38" s="1281"/>
      <c r="N38" s="1281"/>
      <c r="O38" s="1281"/>
      <c r="P38" s="1281"/>
    </row>
    <row r="39" spans="1:16" x14ac:dyDescent="0.35">
      <c r="A39" s="1281"/>
      <c r="B39" s="1281"/>
      <c r="C39" s="1281"/>
      <c r="D39" s="1281"/>
      <c r="E39" s="1281"/>
      <c r="F39" s="1281"/>
      <c r="G39" s="1281"/>
      <c r="H39" s="1281"/>
      <c r="I39" s="1281"/>
      <c r="J39" s="1281"/>
      <c r="K39" s="1281"/>
      <c r="L39" s="1281"/>
      <c r="M39" s="1281"/>
      <c r="N39" s="1281"/>
      <c r="O39" s="1281"/>
      <c r="P39" s="1281"/>
    </row>
    <row r="40" spans="1:16" x14ac:dyDescent="0.35">
      <c r="A40" s="1281"/>
      <c r="B40" s="1281"/>
      <c r="C40" s="1281"/>
      <c r="D40" s="1281"/>
      <c r="E40" s="1281"/>
      <c r="F40" s="1281"/>
      <c r="G40" s="1281"/>
      <c r="H40" s="1281"/>
      <c r="I40" s="1281"/>
      <c r="J40" s="1281"/>
      <c r="K40" s="1281"/>
      <c r="L40" s="1281"/>
      <c r="M40" s="1281"/>
      <c r="N40" s="1281"/>
      <c r="O40" s="1281"/>
      <c r="P40" s="1281"/>
    </row>
    <row r="41" spans="1:16" x14ac:dyDescent="0.35">
      <c r="A41" s="1281"/>
      <c r="B41" s="1281"/>
      <c r="C41" s="1281"/>
      <c r="D41" s="1281"/>
      <c r="E41" s="1281"/>
      <c r="F41" s="1281"/>
      <c r="G41" s="1281"/>
      <c r="H41" s="1281"/>
      <c r="I41" s="1281"/>
      <c r="J41" s="1281"/>
      <c r="K41" s="1281"/>
      <c r="L41" s="1281"/>
      <c r="M41" s="1281"/>
      <c r="N41" s="1281"/>
      <c r="O41" s="1281"/>
      <c r="P41" s="1281"/>
    </row>
    <row r="42" spans="1:16" x14ac:dyDescent="0.35">
      <c r="A42" s="1281"/>
      <c r="B42" s="1281"/>
      <c r="C42" s="1281"/>
      <c r="D42" s="1281"/>
      <c r="E42" s="1281"/>
      <c r="F42" s="1281"/>
      <c r="G42" s="1281"/>
      <c r="H42" s="1281"/>
      <c r="I42" s="1281"/>
      <c r="J42" s="1281"/>
      <c r="K42" s="1281"/>
      <c r="L42" s="1281"/>
      <c r="M42" s="1281"/>
      <c r="N42" s="1281"/>
      <c r="O42" s="1281"/>
      <c r="P42" s="1281"/>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82" t="s">
        <v>980</v>
      </c>
      <c r="B44" s="1282"/>
      <c r="C44" s="1282"/>
      <c r="D44" s="1282"/>
      <c r="E44" s="1282"/>
      <c r="F44" s="1282"/>
      <c r="G44" s="1282"/>
      <c r="H44" s="1282"/>
      <c r="I44" s="1282"/>
      <c r="J44" s="1282"/>
      <c r="K44" s="1282"/>
      <c r="L44" s="1282"/>
      <c r="M44" s="1282"/>
      <c r="N44" s="1282"/>
      <c r="O44" s="1282"/>
      <c r="P44" s="1282"/>
    </row>
    <row r="45" spans="1:16" x14ac:dyDescent="0.35">
      <c r="A45" s="1282"/>
      <c r="B45" s="1282"/>
      <c r="C45" s="1282"/>
      <c r="D45" s="1282"/>
      <c r="E45" s="1282"/>
      <c r="F45" s="1282"/>
      <c r="G45" s="1282"/>
      <c r="H45" s="1282"/>
      <c r="I45" s="1282"/>
      <c r="J45" s="1282"/>
      <c r="K45" s="1282"/>
      <c r="L45" s="1282"/>
      <c r="M45" s="1282"/>
      <c r="N45" s="1282"/>
      <c r="O45" s="1282"/>
      <c r="P45" s="1282"/>
    </row>
    <row r="46" spans="1:16" x14ac:dyDescent="0.35">
      <c r="A46" s="1282"/>
      <c r="B46" s="1282"/>
      <c r="C46" s="1282"/>
      <c r="D46" s="1282"/>
      <c r="E46" s="1282"/>
      <c r="F46" s="1282"/>
      <c r="G46" s="1282"/>
      <c r="H46" s="1282"/>
      <c r="I46" s="1282"/>
      <c r="J46" s="1282"/>
      <c r="K46" s="1282"/>
      <c r="L46" s="1282"/>
      <c r="M46" s="1282"/>
      <c r="N46" s="1282"/>
      <c r="O46" s="1282"/>
      <c r="P46" s="1282"/>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79" t="s">
        <v>981</v>
      </c>
      <c r="B48" s="1280"/>
      <c r="C48" s="1280"/>
      <c r="D48" s="1280"/>
      <c r="E48" s="1280"/>
      <c r="F48" s="1280"/>
      <c r="G48" s="1280"/>
      <c r="H48" s="1280"/>
      <c r="I48" s="1280"/>
      <c r="J48" s="1280"/>
      <c r="K48" s="1280"/>
      <c r="L48" s="1280"/>
      <c r="M48" s="1280"/>
      <c r="N48" s="1280"/>
      <c r="O48" s="1280"/>
      <c r="P48" s="1280"/>
    </row>
    <row r="49" spans="1:16" x14ac:dyDescent="0.35">
      <c r="A49" s="1280"/>
      <c r="B49" s="1280"/>
      <c r="C49" s="1280"/>
      <c r="D49" s="1280"/>
      <c r="E49" s="1280"/>
      <c r="F49" s="1280"/>
      <c r="G49" s="1280"/>
      <c r="H49" s="1280"/>
      <c r="I49" s="1280"/>
      <c r="J49" s="1280"/>
      <c r="K49" s="1280"/>
      <c r="L49" s="1280"/>
      <c r="M49" s="1280"/>
      <c r="N49" s="1280"/>
      <c r="O49" s="1280"/>
      <c r="P49" s="1280"/>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75" t="s">
        <v>982</v>
      </c>
      <c r="B51" s="1275"/>
      <c r="C51" s="1275"/>
      <c r="D51" s="1275"/>
      <c r="E51" s="1275"/>
      <c r="F51" s="1275"/>
      <c r="G51" s="1275"/>
      <c r="H51" s="1275"/>
      <c r="I51" s="1275"/>
      <c r="J51" s="1275"/>
      <c r="K51" s="1275"/>
      <c r="L51" s="1275"/>
      <c r="M51" s="1275"/>
      <c r="N51" s="1275"/>
      <c r="O51" s="1275"/>
      <c r="P51" s="1275"/>
    </row>
    <row r="52" spans="1:16" x14ac:dyDescent="0.35">
      <c r="A52" s="1275"/>
      <c r="B52" s="1275"/>
      <c r="C52" s="1275"/>
      <c r="D52" s="1275"/>
      <c r="E52" s="1275"/>
      <c r="F52" s="1275"/>
      <c r="G52" s="1275"/>
      <c r="H52" s="1275"/>
      <c r="I52" s="1275"/>
      <c r="J52" s="1275"/>
      <c r="K52" s="1275"/>
      <c r="L52" s="1275"/>
      <c r="M52" s="1275"/>
      <c r="N52" s="1275"/>
      <c r="O52" s="1275"/>
      <c r="P52" s="1275"/>
    </row>
    <row r="53" spans="1:16" x14ac:dyDescent="0.35">
      <c r="A53" s="1275"/>
      <c r="B53" s="1275"/>
      <c r="C53" s="1275"/>
      <c r="D53" s="1275"/>
      <c r="E53" s="1275"/>
      <c r="F53" s="1275"/>
      <c r="G53" s="1275"/>
      <c r="H53" s="1275"/>
      <c r="I53" s="1275"/>
      <c r="J53" s="1275"/>
      <c r="K53" s="1275"/>
      <c r="L53" s="1275"/>
      <c r="M53" s="1275"/>
      <c r="N53" s="1275"/>
      <c r="O53" s="1275"/>
      <c r="P53" s="1275"/>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83" t="s">
        <v>989</v>
      </c>
      <c r="F3" s="1283"/>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84"/>
      <c r="J1" s="1284"/>
      <c r="K1" s="1284"/>
    </row>
    <row r="2" spans="1:62" s="1" customFormat="1" ht="13" customHeight="1" x14ac:dyDescent="0.35">
      <c r="A2" s="220"/>
      <c r="O2" s="977" t="s">
        <v>1229</v>
      </c>
      <c r="P2" s="1290" t="s">
        <v>1053</v>
      </c>
      <c r="Q2" s="1290"/>
      <c r="R2" s="1290"/>
      <c r="S2" s="1290"/>
      <c r="T2" s="219"/>
      <c r="U2" s="219"/>
      <c r="V2" s="219"/>
      <c r="W2" s="219"/>
      <c r="X2" s="219"/>
      <c r="Y2" s="1285" t="s">
        <v>1054</v>
      </c>
      <c r="Z2" s="1286"/>
      <c r="AA2" s="1286"/>
      <c r="AB2" s="1286"/>
      <c r="AC2" s="1286"/>
      <c r="AD2" s="1286"/>
      <c r="AE2" s="219"/>
      <c r="AF2" s="219"/>
      <c r="AG2" s="1287" t="s">
        <v>1055</v>
      </c>
      <c r="AH2" s="1286"/>
      <c r="AI2" s="1286"/>
      <c r="AJ2" s="1289" t="s">
        <v>1056</v>
      </c>
      <c r="AK2" s="1289"/>
      <c r="AL2" s="1289"/>
      <c r="AM2" s="1289"/>
      <c r="AN2" s="1289"/>
      <c r="AO2" s="1289"/>
      <c r="AP2" s="1289"/>
      <c r="AQ2" s="1289"/>
      <c r="AR2" s="1289"/>
      <c r="AS2" s="1289"/>
      <c r="AT2" s="502"/>
      <c r="AU2" s="1288" t="s">
        <v>518</v>
      </c>
      <c r="AV2" s="1288"/>
      <c r="AW2" s="1288"/>
      <c r="AX2" s="1288"/>
      <c r="AY2" s="1288"/>
      <c r="AZ2" s="1288"/>
      <c r="BA2" s="1288"/>
      <c r="BB2" s="388"/>
      <c r="BC2" s="388"/>
      <c r="BD2" s="388"/>
      <c r="BE2" s="388"/>
      <c r="BF2" s="388"/>
      <c r="BG2" s="388"/>
      <c r="BH2" s="388"/>
      <c r="BI2" s="388"/>
      <c r="BJ2" s="395" t="s">
        <v>1057</v>
      </c>
    </row>
    <row r="3" spans="1:62" ht="43.5" x14ac:dyDescent="0.35">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x14ac:dyDescent="0.35">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149999999999999"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1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5429687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84" zoomScaleNormal="55" workbookViewId="0">
      <pane ySplit="1" topLeftCell="A4" activePane="bottomLeft" state="frozen"/>
      <selection pane="bottomLeft" activeCell="C6" sqref="C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20" t="s">
        <v>57</v>
      </c>
      <c r="C4" s="52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1220</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5"/>
      <c r="C9" s="26"/>
      <c r="D9" s="26"/>
      <c r="E9" s="31" t="s">
        <v>68</v>
      </c>
      <c r="F9" s="26"/>
    </row>
    <row r="10" spans="1:6"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1" t="s">
        <v>78</v>
      </c>
      <c r="B20" s="25" t="e">
        <f>#REF!</f>
        <v>#REF!</v>
      </c>
    </row>
    <row r="21" spans="1:6"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7" t="s">
        <v>80</v>
      </c>
      <c r="B22" s="25" t="s">
        <v>81</v>
      </c>
    </row>
    <row r="23" spans="1:6" ht="36" customHeight="1" x14ac:dyDescent="0.35">
      <c r="A23" s="48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20" t="s">
        <v>57</v>
      </c>
      <c r="C4" s="520" t="s">
        <v>58</v>
      </c>
    </row>
    <row r="5" spans="1:5" ht="137.15" customHeight="1" x14ac:dyDescent="0.35">
      <c r="A5" t="s">
        <v>120</v>
      </c>
      <c r="B5" s="25" t="s">
        <v>121</v>
      </c>
    </row>
    <row r="6" spans="1:5" ht="29.15" customHeight="1" x14ac:dyDescent="0.35">
      <c r="A6" t="s">
        <v>122</v>
      </c>
      <c r="B6" s="597" t="s">
        <v>123</v>
      </c>
      <c r="C6" t="s">
        <v>124</v>
      </c>
    </row>
    <row r="7" spans="1:5" ht="43.5" x14ac:dyDescent="0.35">
      <c r="A7" s="1" t="s">
        <v>125</v>
      </c>
      <c r="B7" s="597" t="s">
        <v>126</v>
      </c>
      <c r="C7" t="s">
        <v>127</v>
      </c>
    </row>
    <row r="9" spans="1:5" x14ac:dyDescent="0.35">
      <c r="B9" s="596"/>
    </row>
    <row r="10" spans="1:5" x14ac:dyDescent="0.3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1" zoomScale="109" workbookViewId="0">
      <selection activeCell="E3" sqref="E3"/>
    </sheetView>
  </sheetViews>
  <sheetFormatPr defaultColWidth="8.54296875" defaultRowHeight="14.5" x14ac:dyDescent="0.35"/>
  <cols>
    <col min="1" max="1" width="15.1796875" style="489" customWidth="1"/>
    <col min="2" max="2" width="28.453125" style="489" customWidth="1"/>
    <col min="3" max="3" width="25.1796875" style="489" customWidth="1"/>
    <col min="4" max="4" width="11.1796875" style="489" customWidth="1"/>
    <col min="5" max="5" width="15.1796875" style="489" customWidth="1"/>
    <col min="6" max="6" width="12.453125" style="489" customWidth="1"/>
    <col min="7" max="7" width="11.81640625" style="489" bestFit="1" customWidth="1"/>
    <col min="8" max="16384" width="8.54296875" style="489"/>
  </cols>
  <sheetData>
    <row r="1" spans="1:11" s="494" customFormat="1" x14ac:dyDescent="0.35">
      <c r="A1" s="494" t="s">
        <v>128</v>
      </c>
      <c r="B1" s="494" t="s">
        <v>129</v>
      </c>
      <c r="C1" s="494" t="s">
        <v>130</v>
      </c>
      <c r="D1" s="494" t="s">
        <v>131</v>
      </c>
      <c r="E1" s="494" t="s">
        <v>132</v>
      </c>
      <c r="F1" s="494" t="s">
        <v>133</v>
      </c>
    </row>
    <row r="2" spans="1:11" x14ac:dyDescent="0.35">
      <c r="C2" s="489" t="str">
        <f>'Haver Pivoted'!A1</f>
        <v>name</v>
      </c>
      <c r="D2" s="495" t="s">
        <v>1255</v>
      </c>
      <c r="E2" s="495" t="s">
        <v>1256</v>
      </c>
      <c r="F2" s="495"/>
      <c r="H2" s="496"/>
    </row>
    <row r="3" spans="1:11" x14ac:dyDescent="0.35">
      <c r="B3" s="489" t="s">
        <v>134</v>
      </c>
      <c r="C3" s="489" t="str">
        <f>'Haver Pivoted'!A2</f>
        <v>gdp</v>
      </c>
      <c r="D3" s="489">
        <v>23173.5</v>
      </c>
      <c r="E3" s="489">
        <f>'Haver Pivoted'!GZ2</f>
        <v>23173.5</v>
      </c>
      <c r="F3" s="489">
        <f>E3-D3</f>
        <v>0</v>
      </c>
      <c r="G3" s="497">
        <f>F3/D3</f>
        <v>0</v>
      </c>
      <c r="H3" s="498"/>
    </row>
    <row r="4" spans="1:11" x14ac:dyDescent="0.35">
      <c r="B4" s="489" t="s">
        <v>135</v>
      </c>
      <c r="C4" s="489" t="str">
        <f>'Haver Pivoted'!A3</f>
        <v>gdph</v>
      </c>
      <c r="D4" s="489">
        <v>19465.2</v>
      </c>
      <c r="E4" s="489">
        <f>'Haver Pivoted'!GZ3</f>
        <v>19465.2</v>
      </c>
      <c r="F4" s="489">
        <f t="shared" ref="F4:F67" si="0">E4-D4</f>
        <v>0</v>
      </c>
      <c r="G4" s="497">
        <f t="shared" ref="G4:G67" si="1">F4/D4</f>
        <v>0</v>
      </c>
      <c r="H4" s="498"/>
    </row>
    <row r="5" spans="1:11" x14ac:dyDescent="0.35">
      <c r="B5" s="489" t="s">
        <v>136</v>
      </c>
      <c r="C5" s="489" t="str">
        <f>'Haver Pivoted'!A4</f>
        <v>jgdp</v>
      </c>
      <c r="D5" s="489">
        <v>119.19</v>
      </c>
      <c r="E5" s="489">
        <f>'Haver Pivoted'!GZ4</f>
        <v>119.19</v>
      </c>
      <c r="F5" s="489">
        <f t="shared" si="0"/>
        <v>0</v>
      </c>
      <c r="G5" s="497">
        <f t="shared" si="1"/>
        <v>0</v>
      </c>
      <c r="H5" s="499"/>
    </row>
    <row r="6" spans="1:11" x14ac:dyDescent="0.35">
      <c r="B6" s="489" t="s">
        <v>137</v>
      </c>
      <c r="C6" s="489" t="str">
        <f>'Haver Pivoted'!A5</f>
        <v>c</v>
      </c>
      <c r="D6" s="489">
        <v>15946.2</v>
      </c>
      <c r="E6" s="489">
        <f>'Haver Pivoted'!GZ5</f>
        <v>15946.2</v>
      </c>
      <c r="F6" s="489">
        <f t="shared" si="0"/>
        <v>0</v>
      </c>
      <c r="G6" s="497">
        <f t="shared" si="1"/>
        <v>0</v>
      </c>
    </row>
    <row r="7" spans="1:11" x14ac:dyDescent="0.35">
      <c r="B7" s="489" t="s">
        <v>138</v>
      </c>
      <c r="C7" s="489" t="str">
        <f>'Haver Pivoted'!A6</f>
        <v>ch</v>
      </c>
      <c r="D7" s="489">
        <v>13719.3</v>
      </c>
      <c r="E7" s="489">
        <f>'Haver Pivoted'!GZ6</f>
        <v>13719.3</v>
      </c>
      <c r="F7" s="489">
        <f t="shared" si="0"/>
        <v>0</v>
      </c>
      <c r="G7" s="497">
        <f t="shared" si="1"/>
        <v>0</v>
      </c>
      <c r="K7" s="499"/>
    </row>
    <row r="8" spans="1:11" x14ac:dyDescent="0.35">
      <c r="B8" s="489" t="s">
        <v>139</v>
      </c>
      <c r="C8" s="489" t="str">
        <f>'Haver Pivoted'!A7</f>
        <v>jc</v>
      </c>
      <c r="D8" s="489">
        <v>116.252</v>
      </c>
      <c r="E8" s="489">
        <f>'Haver Pivoted'!GZ7</f>
        <v>116.252</v>
      </c>
      <c r="F8" s="489">
        <f t="shared" si="0"/>
        <v>0</v>
      </c>
      <c r="G8" s="497">
        <f t="shared" si="1"/>
        <v>0</v>
      </c>
    </row>
    <row r="9" spans="1:11" x14ac:dyDescent="0.35">
      <c r="B9" s="489" t="s">
        <v>140</v>
      </c>
      <c r="C9" s="489" t="str">
        <f>'Haver Pivoted'!A8</f>
        <v>jgf</v>
      </c>
      <c r="D9" s="489">
        <v>116.539</v>
      </c>
      <c r="E9" s="489">
        <f>'Haver Pivoted'!GZ8</f>
        <v>116.539</v>
      </c>
      <c r="F9" s="489">
        <f t="shared" si="0"/>
        <v>0</v>
      </c>
      <c r="G9" s="497">
        <f t="shared" si="1"/>
        <v>0</v>
      </c>
    </row>
    <row r="10" spans="1:11" x14ac:dyDescent="0.35">
      <c r="B10" s="489" t="s">
        <v>141</v>
      </c>
      <c r="C10" s="489" t="str">
        <f>'Haver Pivoted'!A9</f>
        <v>jgs</v>
      </c>
      <c r="D10" s="489">
        <v>123.30500000000001</v>
      </c>
      <c r="E10" s="489">
        <f>'Haver Pivoted'!GZ9</f>
        <v>123.30500000000001</v>
      </c>
      <c r="F10" s="489">
        <f t="shared" si="0"/>
        <v>0</v>
      </c>
      <c r="G10" s="497">
        <f t="shared" si="1"/>
        <v>0</v>
      </c>
    </row>
    <row r="11" spans="1:11" x14ac:dyDescent="0.35">
      <c r="B11" s="489" t="s">
        <v>142</v>
      </c>
      <c r="C11" s="489" t="str">
        <f>'Haver Pivoted'!A10</f>
        <v>jgse</v>
      </c>
      <c r="D11" s="489">
        <v>122.996</v>
      </c>
      <c r="E11" s="489">
        <f>'Haver Pivoted'!GZ10</f>
        <v>122.996</v>
      </c>
      <c r="F11" s="489">
        <f t="shared" si="0"/>
        <v>0</v>
      </c>
      <c r="G11" s="497">
        <f t="shared" si="1"/>
        <v>0</v>
      </c>
    </row>
    <row r="12" spans="1:11" x14ac:dyDescent="0.35">
      <c r="B12" s="489" t="s">
        <v>143</v>
      </c>
      <c r="C12" s="489" t="str">
        <f>'Haver Pivoted'!A11</f>
        <v>jgsi</v>
      </c>
      <c r="D12" s="489">
        <v>124.76</v>
      </c>
      <c r="E12" s="489">
        <f>'Haver Pivoted'!GZ11</f>
        <v>124.76</v>
      </c>
      <c r="F12" s="489">
        <f t="shared" si="0"/>
        <v>0</v>
      </c>
      <c r="G12" s="497">
        <f t="shared" si="1"/>
        <v>0</v>
      </c>
    </row>
    <row r="13" spans="1:11" x14ac:dyDescent="0.35">
      <c r="A13" s="489" t="s">
        <v>76</v>
      </c>
      <c r="B13" s="489" t="s">
        <v>76</v>
      </c>
      <c r="C13" s="489" t="str">
        <f>'Haver Pivoted'!A12</f>
        <v>yptmr</v>
      </c>
      <c r="D13" s="489">
        <v>826.5</v>
      </c>
      <c r="E13" s="489">
        <f>'Haver Pivoted'!GZ12</f>
        <v>826.5</v>
      </c>
      <c r="F13" s="489">
        <f t="shared" si="0"/>
        <v>0</v>
      </c>
      <c r="G13" s="497">
        <f t="shared" si="1"/>
        <v>0</v>
      </c>
      <c r="I13" s="500"/>
    </row>
    <row r="14" spans="1:11" x14ac:dyDescent="0.35">
      <c r="A14" s="489" t="s">
        <v>75</v>
      </c>
      <c r="B14" s="489" t="s">
        <v>144</v>
      </c>
      <c r="C14" s="489" t="str">
        <f>'Haver Pivoted'!A13</f>
        <v>yptmd</v>
      </c>
      <c r="D14" s="489">
        <v>740</v>
      </c>
      <c r="E14" s="489">
        <f>'Haver Pivoted'!GZ13</f>
        <v>740</v>
      </c>
      <c r="F14" s="489">
        <f t="shared" si="0"/>
        <v>0</v>
      </c>
      <c r="G14" s="497">
        <f t="shared" si="1"/>
        <v>0</v>
      </c>
    </row>
    <row r="15" spans="1:11" x14ac:dyDescent="0.35">
      <c r="A15" s="489" t="s">
        <v>74</v>
      </c>
      <c r="B15" s="489" t="s">
        <v>145</v>
      </c>
      <c r="C15" s="489" t="str">
        <f>'Haver Pivoted'!A14</f>
        <v>yptu</v>
      </c>
      <c r="D15" s="489">
        <v>272.60000000000002</v>
      </c>
      <c r="E15" s="489">
        <f>'Haver Pivoted'!GZ14</f>
        <v>272.60000000000002</v>
      </c>
      <c r="F15" s="489">
        <f t="shared" si="0"/>
        <v>0</v>
      </c>
      <c r="G15" s="497">
        <f t="shared" si="1"/>
        <v>0</v>
      </c>
    </row>
    <row r="16" spans="1:11" x14ac:dyDescent="0.35">
      <c r="B16" s="489" t="s">
        <v>78</v>
      </c>
      <c r="C16" s="489" t="str">
        <f>'Haver Pivoted'!A15</f>
        <v>gtfp</v>
      </c>
      <c r="D16" s="489">
        <v>4038.8</v>
      </c>
      <c r="E16" s="489">
        <f>'Haver Pivoted'!GZ15</f>
        <v>4038.8</v>
      </c>
      <c r="F16" s="489">
        <f t="shared" si="0"/>
        <v>0</v>
      </c>
      <c r="G16" s="497">
        <f t="shared" si="1"/>
        <v>0</v>
      </c>
    </row>
    <row r="17" spans="1:7" x14ac:dyDescent="0.35">
      <c r="B17" s="489" t="s">
        <v>146</v>
      </c>
      <c r="C17" s="489" t="str">
        <f>'Haver Pivoted'!A16</f>
        <v>ypog</v>
      </c>
      <c r="D17" s="489">
        <v>116.8</v>
      </c>
      <c r="E17" s="489">
        <f>'Haver Pivoted'!GZ16</f>
        <v>116.8</v>
      </c>
      <c r="F17" s="489">
        <f t="shared" si="0"/>
        <v>0</v>
      </c>
      <c r="G17" s="497">
        <f t="shared" si="1"/>
        <v>0</v>
      </c>
    </row>
    <row r="18" spans="1:7" x14ac:dyDescent="0.35">
      <c r="B18" s="489" t="s">
        <v>147</v>
      </c>
      <c r="C18" s="489" t="str">
        <f>'Haver Pivoted'!A17</f>
        <v>yptx</v>
      </c>
      <c r="D18" s="489">
        <v>2592.1</v>
      </c>
      <c r="E18" s="489">
        <f>'Haver Pivoted'!GZ17</f>
        <v>2592.1</v>
      </c>
      <c r="F18" s="489">
        <f t="shared" si="0"/>
        <v>0</v>
      </c>
      <c r="G18" s="497">
        <f t="shared" si="1"/>
        <v>0</v>
      </c>
    </row>
    <row r="19" spans="1:7" x14ac:dyDescent="0.35">
      <c r="B19" s="489" t="s">
        <v>148</v>
      </c>
      <c r="C19" s="489" t="str">
        <f>'Haver Pivoted'!A18</f>
        <v>ytpi</v>
      </c>
      <c r="D19" s="489">
        <v>1658.9</v>
      </c>
      <c r="E19" s="489">
        <f>'Haver Pivoted'!GZ18</f>
        <v>1658.9</v>
      </c>
      <c r="F19" s="489">
        <f t="shared" si="0"/>
        <v>0</v>
      </c>
      <c r="G19" s="497">
        <f t="shared" si="1"/>
        <v>0</v>
      </c>
    </row>
    <row r="20" spans="1:7" x14ac:dyDescent="0.35">
      <c r="B20" s="489" t="s">
        <v>149</v>
      </c>
      <c r="C20" s="489" t="str">
        <f>'Haver Pivoted'!A19</f>
        <v>yctlg</v>
      </c>
      <c r="D20" s="489">
        <v>334.26666669999997</v>
      </c>
      <c r="E20" s="489">
        <f>'Haver Pivoted'!GZ19</f>
        <v>334.26666666666699</v>
      </c>
      <c r="F20" s="489">
        <f t="shared" si="0"/>
        <v>-3.333298081997782E-8</v>
      </c>
      <c r="G20" s="497">
        <f t="shared" si="1"/>
        <v>-9.9719727213762957E-11</v>
      </c>
    </row>
    <row r="21" spans="1:7" x14ac:dyDescent="0.35">
      <c r="B21" s="489" t="s">
        <v>150</v>
      </c>
      <c r="C21" s="489" t="str">
        <f>'Haver Pivoted'!A20</f>
        <v>g</v>
      </c>
      <c r="D21" s="489">
        <v>4077</v>
      </c>
      <c r="E21" s="489">
        <f>'Haver Pivoted'!GZ20</f>
        <v>4077</v>
      </c>
      <c r="F21" s="489">
        <f t="shared" si="0"/>
        <v>0</v>
      </c>
      <c r="G21" s="497">
        <f t="shared" si="1"/>
        <v>0</v>
      </c>
    </row>
    <row r="22" spans="1:7" x14ac:dyDescent="0.35">
      <c r="B22" s="489" t="s">
        <v>151</v>
      </c>
      <c r="C22" s="489" t="str">
        <f>'Haver Pivoted'!A21</f>
        <v>grcsi</v>
      </c>
      <c r="D22" s="489">
        <v>1594.5</v>
      </c>
      <c r="E22" s="489">
        <f>'Haver Pivoted'!GZ21</f>
        <v>1594.5</v>
      </c>
      <c r="F22" s="489">
        <f t="shared" si="0"/>
        <v>0</v>
      </c>
      <c r="G22" s="497">
        <f t="shared" si="1"/>
        <v>0</v>
      </c>
    </row>
    <row r="23" spans="1:7" x14ac:dyDescent="0.35">
      <c r="B23" s="489" t="s">
        <v>139</v>
      </c>
      <c r="C23" s="489" t="str">
        <f>'Haver Pivoted'!A22</f>
        <v>dc</v>
      </c>
      <c r="D23" s="489">
        <v>116.232</v>
      </c>
      <c r="E23" s="489">
        <f>'Haver Pivoted'!GZ22</f>
        <v>116.232</v>
      </c>
      <c r="F23" s="489">
        <f t="shared" si="0"/>
        <v>0</v>
      </c>
      <c r="G23" s="497">
        <f t="shared" si="1"/>
        <v>0</v>
      </c>
    </row>
    <row r="24" spans="1:7" x14ac:dyDescent="0.35">
      <c r="A24" s="489" t="s">
        <v>152</v>
      </c>
      <c r="B24" s="489" t="s">
        <v>153</v>
      </c>
      <c r="C24" s="489" t="str">
        <f>'Haver Pivoted'!A23</f>
        <v>gf</v>
      </c>
      <c r="D24" s="489">
        <v>1562.1</v>
      </c>
      <c r="E24" s="489">
        <f>'Haver Pivoted'!GZ23</f>
        <v>1562.1</v>
      </c>
      <c r="F24" s="489">
        <f t="shared" si="0"/>
        <v>0</v>
      </c>
      <c r="G24" s="497">
        <f t="shared" si="1"/>
        <v>0</v>
      </c>
    </row>
    <row r="25" spans="1:7" x14ac:dyDescent="0.35">
      <c r="A25" s="489" t="s">
        <v>152</v>
      </c>
      <c r="B25" s="489" t="s">
        <v>154</v>
      </c>
      <c r="C25" s="489" t="str">
        <f>'Haver Pivoted'!A24</f>
        <v>gs</v>
      </c>
      <c r="D25" s="489">
        <v>2514.9</v>
      </c>
      <c r="E25" s="489">
        <f>'Haver Pivoted'!GZ24</f>
        <v>2514.9</v>
      </c>
      <c r="F25" s="489">
        <f t="shared" si="0"/>
        <v>0</v>
      </c>
      <c r="G25" s="497">
        <f t="shared" si="1"/>
        <v>0</v>
      </c>
    </row>
    <row r="26" spans="1:7" x14ac:dyDescent="0.35">
      <c r="B26" s="489" t="s">
        <v>155</v>
      </c>
      <c r="C26" s="489" t="str">
        <f>'Haver Pivoted'!A25</f>
        <v>gfh</v>
      </c>
      <c r="D26" s="489">
        <v>1340.4</v>
      </c>
      <c r="E26" s="489">
        <f>'Haver Pivoted'!GZ25</f>
        <v>1340.4</v>
      </c>
      <c r="F26" s="489">
        <f t="shared" si="0"/>
        <v>0</v>
      </c>
      <c r="G26" s="497">
        <f t="shared" si="1"/>
        <v>0</v>
      </c>
    </row>
    <row r="27" spans="1:7" x14ac:dyDescent="0.35">
      <c r="B27" s="489" t="s">
        <v>156</v>
      </c>
      <c r="C27" s="489" t="str">
        <f>'Haver Pivoted'!A26</f>
        <v>gsh</v>
      </c>
      <c r="D27" s="489">
        <v>2039.6</v>
      </c>
      <c r="E27" s="489">
        <f>'Haver Pivoted'!GZ26</f>
        <v>2039.6</v>
      </c>
      <c r="F27" s="489">
        <f t="shared" si="0"/>
        <v>0</v>
      </c>
      <c r="G27" s="497">
        <f t="shared" si="1"/>
        <v>0</v>
      </c>
    </row>
    <row r="28" spans="1:7" x14ac:dyDescent="0.35">
      <c r="A28" s="489" t="s">
        <v>79</v>
      </c>
      <c r="B28" s="489" t="s">
        <v>157</v>
      </c>
      <c r="C28" s="489" t="s">
        <v>158</v>
      </c>
      <c r="D28" s="489">
        <v>1994.3</v>
      </c>
      <c r="E28" s="489">
        <f>'Haver Pivoted'!GZ27</f>
        <v>1994.3</v>
      </c>
      <c r="F28" s="489">
        <f t="shared" si="0"/>
        <v>0</v>
      </c>
      <c r="G28" s="497">
        <f t="shared" si="1"/>
        <v>0</v>
      </c>
    </row>
    <row r="29" spans="1:7" x14ac:dyDescent="0.35">
      <c r="A29" s="489" t="s">
        <v>79</v>
      </c>
      <c r="B29" s="489" t="s">
        <v>159</v>
      </c>
      <c r="C29" s="489" t="s">
        <v>160</v>
      </c>
      <c r="D29" s="489">
        <v>173.1</v>
      </c>
      <c r="E29" s="489">
        <f>'Haver Pivoted'!GZ28</f>
        <v>173.1</v>
      </c>
      <c r="F29" s="489">
        <f t="shared" si="0"/>
        <v>0</v>
      </c>
      <c r="G29" s="497">
        <f t="shared" si="1"/>
        <v>0</v>
      </c>
    </row>
    <row r="30" spans="1:7" x14ac:dyDescent="0.35">
      <c r="A30" s="489" t="s">
        <v>79</v>
      </c>
      <c r="B30" s="489" t="s">
        <v>161</v>
      </c>
      <c r="C30" s="489" t="s">
        <v>162</v>
      </c>
      <c r="D30" s="489">
        <v>248.8666667</v>
      </c>
      <c r="E30" s="489">
        <f>'Haver Pivoted'!GZ29</f>
        <v>248.86666666666699</v>
      </c>
      <c r="F30" s="489">
        <f t="shared" si="0"/>
        <v>-3.333300924168725E-8</v>
      </c>
      <c r="G30" s="497">
        <f t="shared" si="1"/>
        <v>-1.3393922811635122E-10</v>
      </c>
    </row>
    <row r="31" spans="1:7" x14ac:dyDescent="0.35">
      <c r="A31" s="489" t="s">
        <v>79</v>
      </c>
      <c r="B31" s="489" t="s">
        <v>163</v>
      </c>
      <c r="C31" s="489" t="s">
        <v>164</v>
      </c>
      <c r="D31" s="489">
        <v>1572.1</v>
      </c>
      <c r="E31" s="489">
        <f>'Haver Pivoted'!GZ30</f>
        <v>1572.1</v>
      </c>
      <c r="F31" s="489">
        <f t="shared" si="0"/>
        <v>0</v>
      </c>
      <c r="G31" s="497">
        <f t="shared" si="1"/>
        <v>0</v>
      </c>
    </row>
    <row r="32" spans="1:7" x14ac:dyDescent="0.35">
      <c r="A32" s="489" t="s">
        <v>165</v>
      </c>
      <c r="B32" s="489" t="s">
        <v>166</v>
      </c>
      <c r="C32" s="489" t="str">
        <f>'Haver Pivoted'!A31</f>
        <v>gftfp</v>
      </c>
      <c r="D32" s="489">
        <v>3141.4</v>
      </c>
      <c r="E32" s="489">
        <f>'Haver Pivoted'!GZ31</f>
        <v>3141.4</v>
      </c>
      <c r="F32" s="489">
        <f t="shared" si="0"/>
        <v>0</v>
      </c>
      <c r="G32" s="497">
        <f t="shared" si="1"/>
        <v>0</v>
      </c>
    </row>
    <row r="33" spans="1:10" x14ac:dyDescent="0.35">
      <c r="A33" s="489" t="s">
        <v>71</v>
      </c>
      <c r="B33" s="488" t="s">
        <v>167</v>
      </c>
      <c r="C33" s="489" t="str">
        <f>'Haver Pivoted'!A32</f>
        <v>gfeg</v>
      </c>
      <c r="D33" s="489">
        <v>1057.0999999999999</v>
      </c>
      <c r="E33" s="489">
        <f>'Haver Pivoted'!GZ32</f>
        <v>1057.0999999999999</v>
      </c>
      <c r="F33" s="489">
        <f t="shared" si="0"/>
        <v>0</v>
      </c>
      <c r="G33" s="497">
        <f t="shared" si="1"/>
        <v>0</v>
      </c>
    </row>
    <row r="34" spans="1:10" x14ac:dyDescent="0.35">
      <c r="A34" s="489" t="s">
        <v>79</v>
      </c>
      <c r="B34" s="489" t="s">
        <v>168</v>
      </c>
      <c r="C34" s="489" t="str">
        <f>'Haver Pivoted'!A33</f>
        <v>gsrpt</v>
      </c>
      <c r="D34" s="489">
        <v>597.70000000000005</v>
      </c>
      <c r="E34" s="489">
        <f>'Haver Pivoted'!GZ33</f>
        <v>597.70000000000005</v>
      </c>
      <c r="F34" s="489">
        <f t="shared" si="0"/>
        <v>0</v>
      </c>
      <c r="G34" s="497">
        <f t="shared" si="1"/>
        <v>0</v>
      </c>
    </row>
    <row r="35" spans="1:10" x14ac:dyDescent="0.35">
      <c r="A35" s="489" t="s">
        <v>79</v>
      </c>
      <c r="B35" s="489" t="s">
        <v>169</v>
      </c>
      <c r="C35" s="489" t="str">
        <f>'Haver Pivoted'!A34</f>
        <v>gsrpri</v>
      </c>
      <c r="D35" s="489">
        <v>1485.8</v>
      </c>
      <c r="E35" s="489">
        <f>'Haver Pivoted'!GZ34</f>
        <v>1485.8</v>
      </c>
      <c r="F35" s="489">
        <f t="shared" si="0"/>
        <v>0</v>
      </c>
      <c r="G35" s="497">
        <f t="shared" si="1"/>
        <v>0</v>
      </c>
    </row>
    <row r="36" spans="1:10" x14ac:dyDescent="0.35">
      <c r="A36" s="489" t="s">
        <v>79</v>
      </c>
      <c r="B36" s="489" t="s">
        <v>170</v>
      </c>
      <c r="C36" s="489" t="str">
        <f>'Haver Pivoted'!A35</f>
        <v>gsrcp</v>
      </c>
      <c r="D36" s="489">
        <v>85.4</v>
      </c>
      <c r="E36" s="489">
        <f>'Haver Pivoted'!GZ35</f>
        <v>85.4</v>
      </c>
      <c r="F36" s="489">
        <f t="shared" si="0"/>
        <v>0</v>
      </c>
      <c r="G36" s="497">
        <f t="shared" si="1"/>
        <v>0</v>
      </c>
    </row>
    <row r="37" spans="1:10" x14ac:dyDescent="0.35">
      <c r="A37" s="489" t="s">
        <v>79</v>
      </c>
      <c r="B37" s="489" t="s">
        <v>171</v>
      </c>
      <c r="C37" s="489" t="str">
        <f>'Haver Pivoted'!A36</f>
        <v>gsrs</v>
      </c>
      <c r="D37" s="489">
        <v>22.4</v>
      </c>
      <c r="E37" s="489">
        <f>'Haver Pivoted'!GZ36</f>
        <v>22.4</v>
      </c>
      <c r="F37" s="489">
        <f t="shared" si="0"/>
        <v>0</v>
      </c>
      <c r="G37" s="497">
        <f t="shared" si="1"/>
        <v>0</v>
      </c>
    </row>
    <row r="38" spans="1:10" x14ac:dyDescent="0.35">
      <c r="A38" s="489" t="s">
        <v>78</v>
      </c>
      <c r="B38" s="489" t="s">
        <v>172</v>
      </c>
      <c r="C38" s="489" t="str">
        <f>'Haver Pivoted'!A37</f>
        <v>gstfp</v>
      </c>
      <c r="D38" s="489">
        <v>897.4</v>
      </c>
      <c r="E38" s="489">
        <f>'Haver Pivoted'!GZ37</f>
        <v>897.4</v>
      </c>
      <c r="F38" s="489">
        <f t="shared" si="0"/>
        <v>0</v>
      </c>
      <c r="G38" s="497">
        <f t="shared" si="1"/>
        <v>0</v>
      </c>
    </row>
    <row r="39" spans="1:10" x14ac:dyDescent="0.35">
      <c r="B39" s="489" t="s">
        <v>173</v>
      </c>
      <c r="C39" s="489" t="str">
        <f>'Haver Pivoted'!A38</f>
        <v>gset</v>
      </c>
      <c r="D39" s="489">
        <v>3394.2</v>
      </c>
      <c r="E39" s="489">
        <f>'Haver Pivoted'!GZ38</f>
        <v>3394.2</v>
      </c>
      <c r="F39" s="489">
        <f t="shared" si="0"/>
        <v>0</v>
      </c>
      <c r="G39" s="497">
        <f t="shared" si="1"/>
        <v>0</v>
      </c>
    </row>
    <row r="40" spans="1:10" x14ac:dyDescent="0.35">
      <c r="B40" s="489" t="s">
        <v>174</v>
      </c>
      <c r="C40" s="489" t="str">
        <f>'Haver Pivoted'!A39</f>
        <v>gfeghhx</v>
      </c>
      <c r="D40" s="489">
        <v>569.60599999999999</v>
      </c>
      <c r="E40" s="489">
        <f>'Haver Pivoted'!GZ39</f>
        <v>569.60599999999999</v>
      </c>
      <c r="F40" s="489">
        <f t="shared" si="0"/>
        <v>0</v>
      </c>
      <c r="G40" s="497">
        <f t="shared" si="1"/>
        <v>0</v>
      </c>
    </row>
    <row r="41" spans="1:10" x14ac:dyDescent="0.35">
      <c r="A41" s="489" t="s">
        <v>175</v>
      </c>
      <c r="B41" s="489" t="s">
        <v>176</v>
      </c>
      <c r="C41" s="489" t="str">
        <f>'Haver Pivoted'!A40</f>
        <v>gfeghdx</v>
      </c>
      <c r="D41" s="489">
        <v>530.82100000000003</v>
      </c>
      <c r="E41" s="489">
        <f>'Haver Pivoted'!GZ40</f>
        <v>530.82100000000003</v>
      </c>
      <c r="F41" s="489">
        <f t="shared" si="0"/>
        <v>0</v>
      </c>
      <c r="G41" s="497">
        <f t="shared" si="1"/>
        <v>0</v>
      </c>
    </row>
    <row r="42" spans="1:10" x14ac:dyDescent="0.35">
      <c r="A42" s="489" t="s">
        <v>71</v>
      </c>
      <c r="B42" s="489" t="s">
        <v>177</v>
      </c>
      <c r="C42" s="489" t="str">
        <f>'Haver Pivoted'!A41</f>
        <v>gfeigx</v>
      </c>
      <c r="D42" s="489">
        <v>72.766999999999996</v>
      </c>
      <c r="E42" s="489">
        <f>'Haver Pivoted'!GZ41</f>
        <v>72.766999999999996</v>
      </c>
      <c r="F42" s="489">
        <f t="shared" si="0"/>
        <v>0</v>
      </c>
      <c r="G42" s="497">
        <f t="shared" si="1"/>
        <v>0</v>
      </c>
    </row>
    <row r="43" spans="1:10" x14ac:dyDescent="0.35">
      <c r="B43" s="489" t="s">
        <v>178</v>
      </c>
      <c r="C43" s="489" t="str">
        <f>'Haver Pivoted'!A42</f>
        <v>gfsub</v>
      </c>
      <c r="D43" s="489">
        <v>554.5</v>
      </c>
      <c r="E43" s="489">
        <f>'Haver Pivoted'!GZ42</f>
        <v>554.5</v>
      </c>
      <c r="F43" s="489">
        <f t="shared" si="0"/>
        <v>0</v>
      </c>
      <c r="G43" s="497">
        <f t="shared" si="1"/>
        <v>0</v>
      </c>
      <c r="I43" s="501"/>
      <c r="J43" s="498"/>
    </row>
    <row r="44" spans="1:10" x14ac:dyDescent="0.35">
      <c r="B44" s="489" t="s">
        <v>179</v>
      </c>
      <c r="C44" s="489" t="str">
        <f>'Haver Pivoted'!A43</f>
        <v>gssub</v>
      </c>
      <c r="D44" s="489">
        <v>0.6</v>
      </c>
      <c r="E44" s="489">
        <f>'Haver Pivoted'!GZ43</f>
        <v>0.6</v>
      </c>
      <c r="F44" s="489">
        <f t="shared" si="0"/>
        <v>0</v>
      </c>
      <c r="G44" s="497">
        <f t="shared" si="1"/>
        <v>0</v>
      </c>
      <c r="I44" s="490"/>
      <c r="J44" s="498"/>
    </row>
    <row r="45" spans="1:10" x14ac:dyDescent="0.35">
      <c r="B45" s="489" t="s">
        <v>73</v>
      </c>
      <c r="C45" s="489" t="str">
        <f>'Haver Pivoted'!A44</f>
        <v>gsub</v>
      </c>
      <c r="D45" s="489">
        <v>555.1</v>
      </c>
      <c r="E45" s="489">
        <f>'Haver Pivoted'!GZ44</f>
        <v>555.1</v>
      </c>
      <c r="F45" s="489">
        <f t="shared" si="0"/>
        <v>0</v>
      </c>
      <c r="G45" s="497">
        <f t="shared" si="1"/>
        <v>0</v>
      </c>
      <c r="I45" s="490"/>
      <c r="J45" s="499"/>
    </row>
    <row r="46" spans="1:10" x14ac:dyDescent="0.35">
      <c r="A46" s="489" t="s">
        <v>77</v>
      </c>
      <c r="B46" s="489" t="s">
        <v>77</v>
      </c>
      <c r="C46" s="489" t="str">
        <f>'Haver Pivoted'!A45</f>
        <v>gftfpe</v>
      </c>
      <c r="D46" s="489">
        <v>38.9</v>
      </c>
      <c r="E46" s="489">
        <f>'Haver Pivoted'!GZ45</f>
        <v>38.9</v>
      </c>
      <c r="F46" s="489">
        <f t="shared" si="0"/>
        <v>0</v>
      </c>
      <c r="G46" s="497">
        <f t="shared" si="1"/>
        <v>0</v>
      </c>
      <c r="I46" s="490"/>
      <c r="J46" s="499"/>
    </row>
    <row r="47" spans="1:10" x14ac:dyDescent="0.35">
      <c r="B47" s="489" t="s">
        <v>180</v>
      </c>
      <c r="C47" s="489" t="str">
        <f>'Haver Pivoted'!A46</f>
        <v>gftfpr</v>
      </c>
      <c r="D47" s="489">
        <v>15</v>
      </c>
      <c r="E47" s="489">
        <f>'Haver Pivoted'!GZ46</f>
        <v>15</v>
      </c>
      <c r="F47" s="489">
        <f t="shared" si="0"/>
        <v>0</v>
      </c>
      <c r="G47" s="497">
        <f t="shared" si="1"/>
        <v>0</v>
      </c>
      <c r="I47" s="490"/>
      <c r="J47" s="499"/>
    </row>
    <row r="48" spans="1:10" x14ac:dyDescent="0.35">
      <c r="A48" s="489" t="s">
        <v>70</v>
      </c>
      <c r="B48" s="489" t="s">
        <v>181</v>
      </c>
      <c r="C48" s="489" t="str">
        <f>'Haver Pivoted'!A47</f>
        <v>gftfpp</v>
      </c>
      <c r="D48" s="489">
        <v>14</v>
      </c>
      <c r="E48" s="489">
        <f>'Haver Pivoted'!GZ47</f>
        <v>14</v>
      </c>
      <c r="F48" s="489">
        <f t="shared" si="0"/>
        <v>0</v>
      </c>
      <c r="G48" s="497">
        <f t="shared" si="1"/>
        <v>0</v>
      </c>
      <c r="J48" s="499"/>
    </row>
    <row r="49" spans="1:9" x14ac:dyDescent="0.35">
      <c r="A49" s="489" t="s">
        <v>69</v>
      </c>
      <c r="B49" s="489" t="s">
        <v>182</v>
      </c>
      <c r="C49" s="489" t="str">
        <f>'Haver Pivoted'!A48</f>
        <v>gftfpv</v>
      </c>
      <c r="D49" s="489">
        <v>37.4</v>
      </c>
      <c r="E49" s="489">
        <f>'Haver Pivoted'!GZ48</f>
        <v>37.4</v>
      </c>
      <c r="F49" s="489">
        <f t="shared" si="0"/>
        <v>0</v>
      </c>
      <c r="G49" s="497">
        <f t="shared" si="1"/>
        <v>0</v>
      </c>
      <c r="H49" s="491"/>
      <c r="I49" s="491"/>
    </row>
    <row r="50" spans="1:9" x14ac:dyDescent="0.35">
      <c r="A50" s="489" t="s">
        <v>183</v>
      </c>
      <c r="B50" s="272" t="s">
        <v>184</v>
      </c>
      <c r="C50" s="489" t="str">
        <f>'Haver Pivoted'!A49</f>
        <v>gfsubp</v>
      </c>
      <c r="D50" s="489">
        <v>265</v>
      </c>
      <c r="E50" s="489">
        <f>'Haver Pivoted'!GZ49</f>
        <v>265</v>
      </c>
      <c r="F50" s="489">
        <f t="shared" si="0"/>
        <v>0</v>
      </c>
      <c r="G50" s="497">
        <f t="shared" si="1"/>
        <v>0</v>
      </c>
      <c r="H50" s="95"/>
      <c r="I50" s="106"/>
    </row>
    <row r="51" spans="1:9" x14ac:dyDescent="0.35">
      <c r="A51" s="489" t="s">
        <v>73</v>
      </c>
      <c r="B51" s="272" t="s">
        <v>185</v>
      </c>
      <c r="C51" s="489" t="str">
        <f>'Haver Pivoted'!A50</f>
        <v>gfsubg</v>
      </c>
      <c r="D51" s="489">
        <v>0.7</v>
      </c>
      <c r="E51" s="489">
        <f>'Haver Pivoted'!GZ50</f>
        <v>0.7</v>
      </c>
      <c r="F51" s="489">
        <f t="shared" si="0"/>
        <v>0</v>
      </c>
      <c r="G51" s="497">
        <f t="shared" si="1"/>
        <v>0</v>
      </c>
      <c r="H51" s="94"/>
      <c r="I51" s="538"/>
    </row>
    <row r="52" spans="1:9" x14ac:dyDescent="0.35">
      <c r="A52" s="489" t="s">
        <v>73</v>
      </c>
      <c r="B52" s="272" t="s">
        <v>186</v>
      </c>
      <c r="C52" s="489" t="str">
        <f>'Haver Pivoted'!A51</f>
        <v>gfsube</v>
      </c>
      <c r="D52" s="489">
        <v>62.9</v>
      </c>
      <c r="E52" s="489">
        <f>'Haver Pivoted'!GZ51</f>
        <v>62.9</v>
      </c>
      <c r="F52" s="489">
        <f t="shared" si="0"/>
        <v>0</v>
      </c>
      <c r="G52" s="497">
        <f t="shared" si="1"/>
        <v>0</v>
      </c>
      <c r="H52" s="252"/>
      <c r="I52" s="106"/>
    </row>
    <row r="53" spans="1:9" x14ac:dyDescent="0.35">
      <c r="A53" s="489" t="s">
        <v>73</v>
      </c>
      <c r="B53" s="272" t="s">
        <v>187</v>
      </c>
      <c r="C53" s="489" t="str">
        <f>'Haver Pivoted'!A52</f>
        <v>gfsubs</v>
      </c>
      <c r="D53" s="489">
        <v>18.5</v>
      </c>
      <c r="E53" s="489">
        <f>'Haver Pivoted'!GZ52</f>
        <v>18.5</v>
      </c>
      <c r="F53" s="489">
        <f t="shared" si="0"/>
        <v>0</v>
      </c>
      <c r="G53" s="497">
        <f t="shared" si="1"/>
        <v>0</v>
      </c>
      <c r="H53" s="252"/>
      <c r="I53" s="106"/>
    </row>
    <row r="54" spans="1:9" x14ac:dyDescent="0.35">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x14ac:dyDescent="0.35">
      <c r="A55" s="489" t="s">
        <v>189</v>
      </c>
      <c r="B55" s="272" t="s">
        <v>190</v>
      </c>
      <c r="C55" s="489" t="str">
        <f>'Haver Pivoted'!A54</f>
        <v>gfsubv</v>
      </c>
      <c r="D55" s="489">
        <v>22.4</v>
      </c>
      <c r="E55" s="489">
        <f>'Haver Pivoted'!GZ54</f>
        <v>22.4</v>
      </c>
      <c r="F55" s="489">
        <f t="shared" si="0"/>
        <v>0</v>
      </c>
      <c r="G55" s="497">
        <f t="shared" si="1"/>
        <v>0</v>
      </c>
      <c r="H55"/>
      <c r="I55"/>
    </row>
    <row r="56" spans="1:9" x14ac:dyDescent="0.35">
      <c r="A56" s="489" t="s">
        <v>73</v>
      </c>
      <c r="B56" s="272" t="s">
        <v>191</v>
      </c>
      <c r="C56" s="489" t="str">
        <f>'Haver Pivoted'!A55</f>
        <v>gfsubk</v>
      </c>
      <c r="D56" s="489">
        <v>8</v>
      </c>
      <c r="E56" s="489">
        <f>'Haver Pivoted'!GZ55</f>
        <v>8</v>
      </c>
      <c r="F56" s="489">
        <f t="shared" si="0"/>
        <v>0</v>
      </c>
      <c r="G56" s="497">
        <f t="shared" si="1"/>
        <v>0</v>
      </c>
      <c r="H56" s="95"/>
      <c r="I56" s="106"/>
    </row>
    <row r="57" spans="1:9" x14ac:dyDescent="0.35">
      <c r="A57" s="489" t="s">
        <v>71</v>
      </c>
      <c r="B57" s="488" t="s">
        <v>192</v>
      </c>
      <c r="C57" s="489" t="str">
        <f>'Haver Pivoted'!A56</f>
        <v>gfegc</v>
      </c>
      <c r="D57" s="489">
        <v>187.9</v>
      </c>
      <c r="E57" s="489">
        <f>'Haver Pivoted'!GZ56</f>
        <v>187.9</v>
      </c>
      <c r="F57" s="489">
        <f t="shared" si="0"/>
        <v>0</v>
      </c>
      <c r="G57" s="497"/>
      <c r="H57" s="95"/>
      <c r="I57" s="106"/>
    </row>
    <row r="58" spans="1:9" x14ac:dyDescent="0.35">
      <c r="A58" s="489" t="s">
        <v>71</v>
      </c>
      <c r="B58" s="488" t="s">
        <v>193</v>
      </c>
      <c r="C58" s="489" t="str">
        <f>'Haver Pivoted'!A57</f>
        <v>gfege</v>
      </c>
      <c r="D58" s="489">
        <v>80.7</v>
      </c>
      <c r="E58" s="489">
        <f>'Haver Pivoted'!GZ57</f>
        <v>80.7</v>
      </c>
      <c r="F58" s="489">
        <f t="shared" si="0"/>
        <v>0</v>
      </c>
      <c r="G58" s="497">
        <f t="shared" si="1"/>
        <v>0</v>
      </c>
      <c r="H58" s="95"/>
      <c r="I58" s="106"/>
    </row>
    <row r="59" spans="1:9" x14ac:dyDescent="0.35">
      <c r="A59" s="489" t="s">
        <v>194</v>
      </c>
      <c r="B59" s="488" t="s">
        <v>195</v>
      </c>
      <c r="C59" s="489" t="str">
        <f>'Haver Pivoted'!A58</f>
        <v>gfegv</v>
      </c>
      <c r="D59" s="489">
        <v>15</v>
      </c>
      <c r="E59" s="489">
        <f>'Haver Pivoted'!GZ58</f>
        <v>15</v>
      </c>
      <c r="F59" s="489">
        <f t="shared" si="0"/>
        <v>0</v>
      </c>
      <c r="G59" s="497">
        <f t="shared" si="1"/>
        <v>0</v>
      </c>
    </row>
    <row r="60" spans="1:9" x14ac:dyDescent="0.35">
      <c r="A60" s="489" t="s">
        <v>74</v>
      </c>
      <c r="B60" s="489" t="s">
        <v>196</v>
      </c>
      <c r="C60" s="489" t="str">
        <f>'Haver Pivoted'!A59</f>
        <v>yptue</v>
      </c>
      <c r="D60" s="489">
        <v>61.6</v>
      </c>
      <c r="E60" s="489">
        <f>'Haver Pivoted'!GZ59</f>
        <v>61.6</v>
      </c>
      <c r="F60" s="489">
        <f t="shared" si="0"/>
        <v>0</v>
      </c>
      <c r="G60" s="497">
        <f t="shared" si="1"/>
        <v>0</v>
      </c>
    </row>
    <row r="61" spans="1:9" x14ac:dyDescent="0.35">
      <c r="A61" s="489" t="s">
        <v>74</v>
      </c>
      <c r="B61" s="489" t="s">
        <v>197</v>
      </c>
      <c r="C61" s="489" t="str">
        <f>'Haver Pivoted'!A60</f>
        <v>yptup</v>
      </c>
      <c r="D61" s="489">
        <v>50.1</v>
      </c>
      <c r="E61" s="489">
        <f>'Haver Pivoted'!GZ60</f>
        <v>50.1</v>
      </c>
      <c r="F61" s="489">
        <f t="shared" si="0"/>
        <v>0</v>
      </c>
      <c r="G61" s="497">
        <f t="shared" si="1"/>
        <v>0</v>
      </c>
    </row>
    <row r="62" spans="1:9" x14ac:dyDescent="0.35">
      <c r="A62" s="489" t="s">
        <v>74</v>
      </c>
      <c r="B62" s="489" t="s">
        <v>198</v>
      </c>
      <c r="C62" s="489" t="str">
        <f>'Haver Pivoted'!A61</f>
        <v>yptuc</v>
      </c>
      <c r="D62" s="489">
        <v>113.2</v>
      </c>
      <c r="E62" s="489">
        <f>'Haver Pivoted'!GZ61</f>
        <v>113.2</v>
      </c>
      <c r="F62" s="489">
        <f t="shared" si="0"/>
        <v>0</v>
      </c>
      <c r="G62" s="497">
        <f t="shared" si="1"/>
        <v>0</v>
      </c>
    </row>
    <row r="63" spans="1:9" x14ac:dyDescent="0.35">
      <c r="B63" s="489" t="s">
        <v>199</v>
      </c>
      <c r="C63" s="489" t="str">
        <f>'Haver Pivoted'!A62</f>
        <v>gftfpu</v>
      </c>
      <c r="D63" s="489">
        <v>230.6</v>
      </c>
      <c r="E63" s="489">
        <f>'Haver Pivoted'!GZ62</f>
        <v>230.6</v>
      </c>
      <c r="F63" s="489">
        <f t="shared" si="0"/>
        <v>0</v>
      </c>
      <c r="G63" s="497">
        <f t="shared" si="1"/>
        <v>0</v>
      </c>
      <c r="H63" s="488"/>
      <c r="I63" s="488"/>
    </row>
    <row r="64" spans="1:9" x14ac:dyDescent="0.35">
      <c r="A64" s="489" t="s">
        <v>74</v>
      </c>
      <c r="B64" s="492" t="s">
        <v>200</v>
      </c>
      <c r="C64" s="489" t="str">
        <f>'Haver Pivoted'!A63</f>
        <v>yptub</v>
      </c>
      <c r="D64" s="489">
        <v>5.8</v>
      </c>
      <c r="E64" s="489">
        <f>'Haver Pivoted'!GZ63</f>
        <v>5.8</v>
      </c>
      <c r="F64" s="489">
        <f t="shared" si="0"/>
        <v>0</v>
      </c>
      <c r="G64" s="497">
        <f t="shared" si="1"/>
        <v>0</v>
      </c>
      <c r="H64" s="488"/>
      <c r="I64" s="488"/>
    </row>
    <row r="65" spans="1:9" x14ac:dyDescent="0.35">
      <c r="A65" s="489" t="s">
        <v>74</v>
      </c>
      <c r="B65" s="489" t="s">
        <v>201</v>
      </c>
      <c r="C65" s="489" t="str">
        <f>'Haver Pivoted'!A64</f>
        <v>yptol</v>
      </c>
      <c r="D65" s="489">
        <v>0.1</v>
      </c>
      <c r="E65" s="489">
        <f>'Haver Pivoted'!GZ64</f>
        <v>0.1</v>
      </c>
      <c r="F65" s="489">
        <f t="shared" si="0"/>
        <v>0</v>
      </c>
      <c r="G65" s="497">
        <f t="shared" si="1"/>
        <v>0</v>
      </c>
      <c r="H65" s="488"/>
      <c r="I65" s="488"/>
    </row>
    <row r="66" spans="1:9" x14ac:dyDescent="0.35">
      <c r="B66" s="489" t="s">
        <v>202</v>
      </c>
      <c r="C66" s="489" t="str">
        <f>'Haver Pivoted'!A65</f>
        <v>gfctp</v>
      </c>
      <c r="D66" s="489">
        <v>100.9</v>
      </c>
      <c r="E66" s="489">
        <f>'Haver Pivoted'!GZ65</f>
        <v>100.9</v>
      </c>
      <c r="F66" s="489">
        <f t="shared" si="0"/>
        <v>0</v>
      </c>
      <c r="G66" s="497">
        <f t="shared" si="1"/>
        <v>0</v>
      </c>
      <c r="H66" s="493"/>
      <c r="I66" s="493"/>
    </row>
    <row r="67" spans="1:9" x14ac:dyDescent="0.35">
      <c r="A67" s="489" t="s">
        <v>78</v>
      </c>
      <c r="B67" s="438" t="s">
        <v>203</v>
      </c>
      <c r="C67" s="489" t="str">
        <f>'Haver Pivoted'!A66</f>
        <v>gftffx</v>
      </c>
      <c r="D67" s="489">
        <v>140.09399999999999</v>
      </c>
      <c r="E67" s="489">
        <f>'Haver Pivoted'!GZ66</f>
        <v>140.09399999999999</v>
      </c>
      <c r="F67" s="489">
        <f t="shared" si="0"/>
        <v>0</v>
      </c>
      <c r="G67" s="497">
        <f t="shared" si="1"/>
        <v>0</v>
      </c>
      <c r="H67" s="493"/>
      <c r="I67" s="493"/>
    </row>
    <row r="68" spans="1:9" x14ac:dyDescent="0.35">
      <c r="B68" s="489" t="s">
        <v>204</v>
      </c>
      <c r="C68" s="489" t="str">
        <f>'Haver Pivoted'!A67</f>
        <v>cpiu</v>
      </c>
      <c r="D68" s="489">
        <v>273.1383333</v>
      </c>
      <c r="E68" s="489">
        <f>'Haver Pivoted'!GZ67</f>
        <v>273.13833333333298</v>
      </c>
      <c r="F68" s="489">
        <f t="shared" ref="F68:F81" si="2">E68-D68</f>
        <v>3.333298081997782E-8</v>
      </c>
      <c r="G68" s="497">
        <f t="shared" ref="G68:G81" si="3">F68/D68</f>
        <v>1.2203699282065519E-10</v>
      </c>
      <c r="H68" s="493"/>
      <c r="I68" s="493"/>
    </row>
    <row r="69" spans="1:9" x14ac:dyDescent="0.35">
      <c r="C69" s="489" t="str">
        <f>'Haver Pivoted'!A68</f>
        <v>pcw</v>
      </c>
      <c r="D69" s="489">
        <v>267.85533329999998</v>
      </c>
      <c r="E69" s="489">
        <f>'Haver Pivoted'!GZ68</f>
        <v>267.85533333333302</v>
      </c>
      <c r="F69" s="489">
        <f t="shared" si="2"/>
        <v>3.3333037663396681E-8</v>
      </c>
      <c r="G69" s="497">
        <f t="shared" si="3"/>
        <v>1.244441813150811E-10</v>
      </c>
    </row>
    <row r="70" spans="1:9" x14ac:dyDescent="0.35">
      <c r="B70" s="489" t="s">
        <v>205</v>
      </c>
      <c r="C70" s="489" t="str">
        <f>'Haver Pivoted'!A69</f>
        <v>gdppothq</v>
      </c>
      <c r="D70" s="489">
        <v>19795.8</v>
      </c>
      <c r="E70" s="489">
        <f>'Haver Pivoted'!GZ69</f>
        <v>19795.8</v>
      </c>
      <c r="F70" s="489">
        <f t="shared" si="2"/>
        <v>0</v>
      </c>
      <c r="G70" s="497">
        <f t="shared" si="3"/>
        <v>0</v>
      </c>
    </row>
    <row r="71" spans="1:9" x14ac:dyDescent="0.35">
      <c r="B71" s="489" t="s">
        <v>206</v>
      </c>
      <c r="C71" s="489" t="str">
        <f>'Haver Pivoted'!A70</f>
        <v>gdppotq</v>
      </c>
      <c r="D71" s="489">
        <v>23233.1</v>
      </c>
      <c r="E71" s="489">
        <f>'Haver Pivoted'!GZ70</f>
        <v>23233.1</v>
      </c>
      <c r="F71" s="489">
        <f t="shared" si="2"/>
        <v>0</v>
      </c>
      <c r="G71" s="497">
        <f t="shared" si="3"/>
        <v>0</v>
      </c>
    </row>
    <row r="72" spans="1:9" x14ac:dyDescent="0.35">
      <c r="B72" s="489" t="s">
        <v>207</v>
      </c>
      <c r="C72" s="489" t="str">
        <f>'Haver Pivoted'!A71</f>
        <v>recessq</v>
      </c>
      <c r="D72" s="489">
        <v>-1</v>
      </c>
      <c r="E72" s="489">
        <f>'Haver Pivoted'!GZ71</f>
        <v>-1</v>
      </c>
      <c r="F72" s="489">
        <f t="shared" si="2"/>
        <v>0</v>
      </c>
      <c r="G72" s="497">
        <f t="shared" si="3"/>
        <v>0</v>
      </c>
    </row>
    <row r="73" spans="1:9" x14ac:dyDescent="0.35">
      <c r="A73" s="489" t="s">
        <v>208</v>
      </c>
      <c r="B73" s="489" t="s">
        <v>209</v>
      </c>
      <c r="C73" s="489" t="str">
        <f>'Haver Pivoted'!A72</f>
        <v>lasgova</v>
      </c>
      <c r="D73" s="489">
        <v>5062.6666670000004</v>
      </c>
      <c r="E73" s="489">
        <f>'Haver Pivoted'!GZ72</f>
        <v>5062.6666666666697</v>
      </c>
      <c r="F73" s="489">
        <f t="shared" si="2"/>
        <v>-3.3333071769447997E-7</v>
      </c>
      <c r="G73" s="497">
        <f t="shared" si="3"/>
        <v>-6.5840937122570376E-11</v>
      </c>
    </row>
    <row r="74" spans="1:9" x14ac:dyDescent="0.35">
      <c r="A74" s="489" t="s">
        <v>208</v>
      </c>
      <c r="B74" s="489" t="s">
        <v>210</v>
      </c>
      <c r="C74" s="489" t="str">
        <f>'Haver Pivoted'!A73</f>
        <v>lalgova</v>
      </c>
      <c r="D74" s="489">
        <v>14107</v>
      </c>
      <c r="E74" s="489">
        <f>'Haver Pivoted'!GZ73</f>
        <v>14107</v>
      </c>
      <c r="F74" s="489">
        <f t="shared" si="2"/>
        <v>0</v>
      </c>
      <c r="G74" s="497">
        <f t="shared" si="3"/>
        <v>0</v>
      </c>
    </row>
    <row r="75" spans="1:9" x14ac:dyDescent="0.35">
      <c r="A75" s="489" t="s">
        <v>208</v>
      </c>
      <c r="B75" s="489" t="s">
        <v>211</v>
      </c>
      <c r="C75" s="489" t="str">
        <f>'Haver Pivoted'!A74</f>
        <v>cpgs</v>
      </c>
      <c r="D75" s="489">
        <v>323230.55560000002</v>
      </c>
      <c r="E75" s="489">
        <f>'Haver Pivoted'!GZ74</f>
        <v>323230.55555555603</v>
      </c>
      <c r="F75" s="489">
        <f t="shared" si="2"/>
        <v>-4.4443993829190731E-5</v>
      </c>
      <c r="G75" s="497">
        <f t="shared" si="3"/>
        <v>-1.3749935783976583E-10</v>
      </c>
    </row>
    <row r="76" spans="1:9" x14ac:dyDescent="0.35">
      <c r="B76" s="489" t="s">
        <v>212</v>
      </c>
      <c r="C76" s="489" t="str">
        <f>'Haver Pivoted'!A75</f>
        <v>jgdp_growth</v>
      </c>
      <c r="D76" s="489">
        <v>1.3986014E-2</v>
      </c>
      <c r="E76" s="489">
        <f>'Haver Pivoted'!GZ75</f>
        <v>1.3986013986014E-2</v>
      </c>
      <c r="F76" s="489">
        <f t="shared" si="2"/>
        <v>-1.398599985824589E-11</v>
      </c>
      <c r="G76" s="497">
        <f t="shared" si="3"/>
        <v>-9.9999898886458223E-10</v>
      </c>
    </row>
    <row r="77" spans="1:9" x14ac:dyDescent="0.35">
      <c r="B77" s="489" t="s">
        <v>213</v>
      </c>
      <c r="C77" s="489" t="str">
        <f>'Haver Pivoted'!A76</f>
        <v>jc_growth</v>
      </c>
      <c r="D77" s="489">
        <v>1.2895131000000001E-2</v>
      </c>
      <c r="E77" s="489">
        <f>'Haver Pivoted'!GZ76</f>
        <v>1.2895131216673E-2</v>
      </c>
      <c r="F77" s="489">
        <f t="shared" si="2"/>
        <v>2.1667299898719961E-10</v>
      </c>
      <c r="G77" s="497">
        <f t="shared" si="3"/>
        <v>1.6802698552438096E-8</v>
      </c>
    </row>
    <row r="78" spans="1:9" x14ac:dyDescent="0.35">
      <c r="B78" s="489" t="s">
        <v>214</v>
      </c>
      <c r="C78" s="489" t="str">
        <f>'Haver Pivoted'!A77</f>
        <v>jgf_growth</v>
      </c>
      <c r="D78" s="489">
        <v>1.1377442999999999E-2</v>
      </c>
      <c r="E78" s="489">
        <f>'Haver Pivoted'!GZ77</f>
        <v>1.13774429826086E-2</v>
      </c>
      <c r="F78" s="489">
        <f t="shared" si="2"/>
        <v>-1.7391399084742964E-11</v>
      </c>
      <c r="G78" s="497">
        <f t="shared" si="3"/>
        <v>-1.528585912031637E-9</v>
      </c>
    </row>
    <row r="79" spans="1:9" x14ac:dyDescent="0.35">
      <c r="B79" s="489" t="s">
        <v>215</v>
      </c>
      <c r="C79" s="489" t="str">
        <f>'Haver Pivoted'!A78</f>
        <v>jgs_growth</v>
      </c>
      <c r="D79" s="489">
        <v>1.4488579999999999E-2</v>
      </c>
      <c r="E79" s="489">
        <f>'Haver Pivoted'!GZ78</f>
        <v>1.4488580267228299E-2</v>
      </c>
      <c r="F79" s="489">
        <f t="shared" si="2"/>
        <v>2.6722830025194266E-10</v>
      </c>
      <c r="G79" s="497">
        <f t="shared" si="3"/>
        <v>1.8444064239003594E-8</v>
      </c>
    </row>
    <row r="80" spans="1:9" x14ac:dyDescent="0.35">
      <c r="B80" s="489" t="s">
        <v>216</v>
      </c>
      <c r="C80" s="489" t="str">
        <f>'Haver Pivoted'!A79</f>
        <v>jgse_growth</v>
      </c>
      <c r="D80" s="489">
        <v>1.2938028000000001E-2</v>
      </c>
      <c r="E80" s="489">
        <f>'Haver Pivoted'!GZ79</f>
        <v>1.29380275890467E-2</v>
      </c>
      <c r="F80" s="489">
        <f t="shared" si="2"/>
        <v>-4.1095330090279436E-10</v>
      </c>
      <c r="G80" s="497">
        <f t="shared" si="3"/>
        <v>-3.1763210042735597E-8</v>
      </c>
    </row>
    <row r="81" spans="2:7" x14ac:dyDescent="0.35">
      <c r="B81" s="489" t="s">
        <v>217</v>
      </c>
      <c r="C81" s="489" t="str">
        <f>'Haver Pivoted'!A80</f>
        <v>jgsi_growth</v>
      </c>
      <c r="D81" s="489">
        <v>2.1777053000000001E-2</v>
      </c>
      <c r="E81" s="489">
        <f>'Haver Pivoted'!GZ80</f>
        <v>2.1777053422986001E-2</v>
      </c>
      <c r="F81" s="489">
        <f t="shared" si="2"/>
        <v>4.2298600039236689E-10</v>
      </c>
      <c r="G81" s="497">
        <f t="shared" si="3"/>
        <v>1.9423472973701579E-8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6" zoomScale="102" workbookViewId="0">
      <selection activeCell="I16" sqref="I16"/>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36" t="s">
        <v>218</v>
      </c>
      <c r="C2" s="1136"/>
      <c r="D2" s="1136"/>
      <c r="E2" s="1136"/>
      <c r="F2" s="1136"/>
      <c r="G2" s="1136"/>
      <c r="H2" s="1136"/>
      <c r="I2" s="1136"/>
      <c r="J2" s="1136"/>
      <c r="K2" s="1136"/>
      <c r="L2" s="1136"/>
      <c r="M2" s="1136"/>
      <c r="N2" s="1136"/>
      <c r="O2" s="1136"/>
      <c r="P2" s="1136"/>
      <c r="Q2" s="1136"/>
      <c r="R2" s="113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373.02054063783805</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1577.4377891323836</v>
      </c>
      <c r="F6" s="208">
        <f>forecast!E4</f>
        <v>1589.4464345503814</v>
      </c>
      <c r="G6" s="208">
        <f>forecast!F4</f>
        <v>1591.4211975616902</v>
      </c>
      <c r="H6" s="208">
        <f>forecast!G4</f>
        <v>1590.7657789253951</v>
      </c>
      <c r="I6" s="208">
        <f>forecast!H4</f>
        <v>1595.9214144343857</v>
      </c>
      <c r="J6" s="208">
        <f>forecast!I4</f>
        <v>1600.1665815728984</v>
      </c>
      <c r="K6" s="208">
        <f>forecast!J4</f>
        <v>1606.0981128204228</v>
      </c>
      <c r="L6" s="208">
        <f>forecast!K4</f>
        <v>1613.6922935912212</v>
      </c>
      <c r="M6" s="208">
        <f>forecast!L4</f>
        <v>1626.4186743296079</v>
      </c>
      <c r="N6" s="208">
        <f>forecast!M4</f>
        <v>1635.2240123392974</v>
      </c>
      <c r="O6" s="208">
        <f>forecast!N4</f>
        <v>1644.0773852169912</v>
      </c>
      <c r="P6" s="208">
        <f>forecast!O4</f>
        <v>1653.3802481012544</v>
      </c>
      <c r="Q6" s="208">
        <f>forecast!P4</f>
        <v>1665.332666851727</v>
      </c>
      <c r="R6" s="208">
        <f>forecast!Q4</f>
        <v>1675.5500755702192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116.09573240653509</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538.19018291204748</v>
      </c>
      <c r="F12" s="208">
        <f>forecast!E10</f>
        <v>551.55270919710392</v>
      </c>
      <c r="G12" s="208">
        <f>forecast!F10</f>
        <v>559.20970242025965</v>
      </c>
      <c r="H12" s="208">
        <f>forecast!G10</f>
        <v>532.32580649257125</v>
      </c>
      <c r="I12" s="208">
        <f>forecast!H10</f>
        <v>523.02182961904396</v>
      </c>
      <c r="J12" s="208">
        <f>forecast!I10</f>
        <v>516.10149912857014</v>
      </c>
      <c r="K12" s="208">
        <f>forecast!J10</f>
        <v>509.27273455635293</v>
      </c>
      <c r="L12" s="208">
        <f>forecast!K10</f>
        <v>502.53432435369587</v>
      </c>
      <c r="M12" s="208">
        <f>forecast!L10</f>
        <v>509.45176934458243</v>
      </c>
      <c r="N12" s="208">
        <f>forecast!M10</f>
        <v>516.46443379189816</v>
      </c>
      <c r="O12" s="208">
        <f>forecast!N10</f>
        <v>523.57362840283258</v>
      </c>
      <c r="P12" s="208">
        <f>forecast!O10</f>
        <v>530.78068192661613</v>
      </c>
      <c r="Q12" s="208">
        <f>forecast!P10</f>
        <v>538.08694140287128</v>
      </c>
      <c r="R12" s="208">
        <f>forecast!Q10</f>
        <v>545.49377241338152</v>
      </c>
    </row>
    <row r="13" spans="2:18" x14ac:dyDescent="0.35">
      <c r="B13" t="str">
        <f>forecast!A11</f>
        <v>Total Medicaid</v>
      </c>
      <c r="C13" t="str">
        <f>forecast!B11</f>
        <v>medicaid</v>
      </c>
      <c r="D13" s="208">
        <f>forecast!C11</f>
        <v>740</v>
      </c>
      <c r="E13" s="208">
        <f>forecast!D11</f>
        <v>750.27313417313019</v>
      </c>
      <c r="F13" s="208">
        <f>forecast!E11</f>
        <v>760.68888629996195</v>
      </c>
      <c r="G13" s="208">
        <f>forecast!F11</f>
        <v>771.24923629045986</v>
      </c>
      <c r="H13" s="208">
        <f>forecast!G11</f>
        <v>781.95619154091401</v>
      </c>
      <c r="I13" s="208">
        <f>forecast!H11</f>
        <v>771.60978730291697</v>
      </c>
      <c r="J13" s="208">
        <f>forecast!I11</f>
        <v>761.40028086279415</v>
      </c>
      <c r="K13" s="208">
        <f>forecast!J11</f>
        <v>751.32586086593074</v>
      </c>
      <c r="L13" s="208">
        <f>forecast!K11</f>
        <v>741.3847399245368</v>
      </c>
      <c r="M13" s="208">
        <f>forecast!L11</f>
        <v>751.58998941094046</v>
      </c>
      <c r="N13" s="208">
        <f>forecast!M11</f>
        <v>761.93571537530659</v>
      </c>
      <c r="O13" s="208">
        <f>forecast!N11</f>
        <v>772.42385149313111</v>
      </c>
      <c r="P13" s="208">
        <f>forecast!O11</f>
        <v>783.05635805718384</v>
      </c>
      <c r="Q13" s="208">
        <f>forecast!P11</f>
        <v>793.83522234389898</v>
      </c>
      <c r="R13" s="208">
        <f>forecast!Q11</f>
        <v>804.76245898480795</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1955.2993733112776</v>
      </c>
      <c r="F19" s="208">
        <f>forecast!E17</f>
        <v>1815.7142400000012</v>
      </c>
      <c r="G19" s="208">
        <f>forecast!F17</f>
        <v>1817.8142400000013</v>
      </c>
      <c r="H19" s="208">
        <f>forecast!G17</f>
        <v>1777.9142400000014</v>
      </c>
      <c r="I19" s="208">
        <f>forecast!H17</f>
        <v>1842.5142400000016</v>
      </c>
      <c r="J19" s="208">
        <f>forecast!I17</f>
        <v>1896.2364000000016</v>
      </c>
      <c r="K19" s="208">
        <f>forecast!J17</f>
        <v>1903.3364000000017</v>
      </c>
      <c r="L19" s="208">
        <f>forecast!K17</f>
        <v>1910.4364000000019</v>
      </c>
      <c r="M19" s="208">
        <f>forecast!L17</f>
        <v>1941.236400000002</v>
      </c>
      <c r="N19" s="208">
        <f>forecast!M17</f>
        <v>1972.2874800000022</v>
      </c>
      <c r="O19" s="208">
        <f>forecast!N17</f>
        <v>1979.3874800000024</v>
      </c>
      <c r="P19" s="208">
        <f>forecast!O17</f>
        <v>1986.4874800000025</v>
      </c>
      <c r="Q19" s="208">
        <f>forecast!P17</f>
        <v>1993.0874800000026</v>
      </c>
      <c r="R19" s="208">
        <f>forecast!Q17</f>
        <v>2024.7785600000027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3823.82252855863</v>
      </c>
      <c r="F21" s="208">
        <f>forecast!E19</f>
        <v>3910.556758267564</v>
      </c>
      <c r="G21" s="208">
        <f>forecast!F19</f>
        <v>3999.7792623822525</v>
      </c>
      <c r="H21" s="208">
        <f>forecast!G19</f>
        <v>4091.5691349349081</v>
      </c>
      <c r="I21" s="208">
        <f>forecast!H19</f>
        <v>4097.0264369090428</v>
      </c>
      <c r="J21" s="208">
        <f>forecast!I19</f>
        <v>4102.7754026569237</v>
      </c>
      <c r="K21" s="208">
        <f>forecast!J19</f>
        <v>4108.8180240614884</v>
      </c>
      <c r="L21" s="208">
        <f>forecast!K19</f>
        <v>4115.1563236452866</v>
      </c>
      <c r="M21" s="208">
        <f>forecast!L19</f>
        <v>4167.1460361514019</v>
      </c>
      <c r="N21" s="208">
        <f>forecast!M19</f>
        <v>4219.9044796830367</v>
      </c>
      <c r="O21" s="208">
        <f>forecast!N19</f>
        <v>4273.4440710848967</v>
      </c>
      <c r="P21" s="208">
        <f>forecast!O19</f>
        <v>4327.777436302531</v>
      </c>
      <c r="Q21" s="208">
        <f>forecast!P19</f>
        <v>4349.9506772075001</v>
      </c>
      <c r="R21" s="208">
        <f>forecast!Q19</f>
        <v>4372.2767723476391</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36" t="s">
        <v>1211</v>
      </c>
      <c r="C27" s="1136"/>
      <c r="D27" s="1136"/>
      <c r="E27" s="1136"/>
      <c r="F27" s="1136"/>
      <c r="G27" s="1136"/>
      <c r="H27" s="1136"/>
      <c r="I27" s="1136"/>
      <c r="J27" s="1136"/>
      <c r="K27" s="1136"/>
      <c r="L27" s="1136"/>
      <c r="M27" s="1136"/>
      <c r="N27" s="1136"/>
      <c r="O27" s="1136"/>
      <c r="P27" s="1136"/>
      <c r="Q27" s="1136"/>
      <c r="R27" s="1136"/>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1106">
        <v>384.12299999999988</v>
      </c>
      <c r="E29" s="1106">
        <v>379.1028067950088</v>
      </c>
      <c r="F29" s="1106">
        <v>382.98756493333315</v>
      </c>
      <c r="G29" s="1106">
        <v>404.11069713866652</v>
      </c>
      <c r="H29" s="1106">
        <v>422.17505958421322</v>
      </c>
      <c r="I29" s="1106">
        <v>442.52433352758169</v>
      </c>
      <c r="J29" s="1106">
        <v>462.59180486868502</v>
      </c>
      <c r="K29" s="1106">
        <v>454.67521469543243</v>
      </c>
      <c r="L29" s="1106">
        <v>461.67012952324978</v>
      </c>
      <c r="M29" s="1106">
        <v>474.30455646417977</v>
      </c>
      <c r="N29" s="1106">
        <v>462.38077136274694</v>
      </c>
      <c r="O29" s="1106">
        <v>453.93971473725685</v>
      </c>
      <c r="P29" s="1106">
        <v>468.27371996674719</v>
      </c>
      <c r="Q29" s="1106">
        <v>482.30045126541711</v>
      </c>
      <c r="R29" s="1106">
        <v>488.80668758803381</v>
      </c>
    </row>
    <row r="30" spans="2:18" x14ac:dyDescent="0.35">
      <c r="B30" t="s">
        <v>177</v>
      </c>
      <c r="C30" t="s">
        <v>238</v>
      </c>
      <c r="D30" s="1106">
        <v>72.766999999999996</v>
      </c>
      <c r="E30" s="1106">
        <v>75.34842857142857</v>
      </c>
      <c r="F30" s="1106">
        <v>75.34842857142857</v>
      </c>
      <c r="G30" s="1106">
        <v>75.34842857142857</v>
      </c>
      <c r="H30" s="1106">
        <v>75.34842857142857</v>
      </c>
      <c r="I30" s="1106">
        <v>75.34842857142857</v>
      </c>
      <c r="J30" s="1106">
        <v>75.34842857142857</v>
      </c>
      <c r="K30" s="1106">
        <v>75.34842857142857</v>
      </c>
      <c r="L30" s="1106">
        <v>75.34842857142857</v>
      </c>
      <c r="M30" s="1106">
        <v>75.34842857142857</v>
      </c>
      <c r="N30" s="1106">
        <v>75.34842857142857</v>
      </c>
      <c r="O30" s="1106">
        <v>75.34842857142857</v>
      </c>
      <c r="P30" s="1106">
        <v>75.34842857142857</v>
      </c>
      <c r="Q30" s="1106">
        <v>75.34842857142857</v>
      </c>
      <c r="R30" s="1106">
        <v>75.34842857142857</v>
      </c>
    </row>
    <row r="31" spans="2:18" x14ac:dyDescent="0.35">
      <c r="B31" t="s">
        <v>239</v>
      </c>
      <c r="C31" t="s">
        <v>240</v>
      </c>
      <c r="D31" s="1106">
        <v>1562.1</v>
      </c>
      <c r="E31" s="1106">
        <v>1573.9267891323836</v>
      </c>
      <c r="F31" s="1106">
        <v>1585.9354345503814</v>
      </c>
      <c r="G31" s="1106">
        <v>1587.9101975616902</v>
      </c>
      <c r="H31" s="1106">
        <v>1587.2547789253952</v>
      </c>
      <c r="I31" s="1106">
        <v>1587.4214144343857</v>
      </c>
      <c r="J31" s="1106">
        <v>1591.6665815728984</v>
      </c>
      <c r="K31" s="1106">
        <v>1597.5981128204228</v>
      </c>
      <c r="L31" s="1106">
        <v>1605.1922935912212</v>
      </c>
      <c r="M31" s="1106">
        <v>1614.118674329608</v>
      </c>
      <c r="N31" s="1106">
        <v>1622.9240123392974</v>
      </c>
      <c r="O31" s="1106">
        <v>1631.7773852169912</v>
      </c>
      <c r="P31" s="1106">
        <v>1641.0802481012545</v>
      </c>
      <c r="Q31" s="1106">
        <v>1650.0326668517271</v>
      </c>
      <c r="R31" s="1106">
        <v>1660.2500755702192</v>
      </c>
    </row>
    <row r="32" spans="2:18" x14ac:dyDescent="0.35">
      <c r="B32" t="s">
        <v>241</v>
      </c>
      <c r="C32" t="s">
        <v>242</v>
      </c>
      <c r="D32" s="1106">
        <v>2514.9</v>
      </c>
      <c r="E32" s="1106">
        <v>2575.543516678471</v>
      </c>
      <c r="F32" s="1106">
        <v>2631.6341692094484</v>
      </c>
      <c r="G32" s="1106">
        <v>2682.757733843011</v>
      </c>
      <c r="H32" s="1106">
        <v>2728.521623719575</v>
      </c>
      <c r="I32" s="1106">
        <v>2765.2889285658985</v>
      </c>
      <c r="J32" s="1106">
        <v>2799.2252025612861</v>
      </c>
      <c r="K32" s="1106">
        <v>2833.5779504667935</v>
      </c>
      <c r="L32" s="1106">
        <v>2868.3522833478787</v>
      </c>
      <c r="M32" s="1106">
        <v>2903.5533749941942</v>
      </c>
      <c r="N32" s="1106">
        <v>2939.1864626893512</v>
      </c>
      <c r="O32" s="1106">
        <v>2939.1864626893512</v>
      </c>
      <c r="P32" s="1106">
        <v>2939.1864626893512</v>
      </c>
      <c r="Q32" s="1106">
        <v>2939.1864626893512</v>
      </c>
      <c r="R32" s="1106">
        <v>2939.1864626893512</v>
      </c>
    </row>
    <row r="33" spans="2:18" x14ac:dyDescent="0.35">
      <c r="B33" t="s">
        <v>243</v>
      </c>
      <c r="C33" t="s">
        <v>244</v>
      </c>
      <c r="D33" s="1106">
        <v>286.71096</v>
      </c>
      <c r="E33" s="1106">
        <v>71.095732406535092</v>
      </c>
      <c r="F33" s="1106">
        <v>11.64100000000002</v>
      </c>
      <c r="G33" s="1106">
        <v>6.6410000000000196</v>
      </c>
      <c r="H33" s="1106">
        <v>6.6410000000000196</v>
      </c>
      <c r="I33" s="1106">
        <v>85.260000000000019</v>
      </c>
      <c r="J33" s="1106">
        <v>82.260000000000019</v>
      </c>
      <c r="K33" s="1106">
        <v>82.260000000000019</v>
      </c>
      <c r="L33" s="1106">
        <v>82.260000000000019</v>
      </c>
      <c r="M33" s="1106">
        <v>84.935000000000016</v>
      </c>
      <c r="N33" s="1106">
        <v>84.935000000000016</v>
      </c>
      <c r="O33" s="1106">
        <v>84.935000000000016</v>
      </c>
      <c r="P33" s="1106">
        <v>84.935000000000016</v>
      </c>
      <c r="Q33" s="1106">
        <v>77.001000000000005</v>
      </c>
      <c r="R33" s="1106">
        <v>77.001000000000005</v>
      </c>
    </row>
    <row r="34" spans="2:18" x14ac:dyDescent="0.35">
      <c r="B34" t="s">
        <v>245</v>
      </c>
      <c r="C34" t="s">
        <v>246</v>
      </c>
      <c r="D34" s="1106">
        <v>267.78904</v>
      </c>
      <c r="E34" s="1106">
        <v>110.24799999999999</v>
      </c>
      <c r="F34" s="1106">
        <v>110.24799999999999</v>
      </c>
      <c r="G34" s="1106">
        <v>110.24799999999999</v>
      </c>
      <c r="H34" s="1106">
        <v>110.24799999999999</v>
      </c>
      <c r="I34" s="1106">
        <v>12.726000000000001</v>
      </c>
      <c r="J34" s="1106">
        <v>12.726000000000001</v>
      </c>
      <c r="K34" s="1106">
        <v>12.726000000000001</v>
      </c>
      <c r="L34" s="1106">
        <v>12.726000000000001</v>
      </c>
      <c r="M34" s="1106">
        <v>1.365</v>
      </c>
      <c r="N34" s="1106">
        <v>1.365</v>
      </c>
      <c r="O34" s="1106">
        <v>1.365</v>
      </c>
      <c r="P34" s="1106">
        <v>1.365</v>
      </c>
      <c r="Q34" s="1106">
        <v>-0.90100000000000025</v>
      </c>
      <c r="R34" s="1106">
        <v>-0.90100000000000025</v>
      </c>
    </row>
    <row r="35" spans="2:18" x14ac:dyDescent="0.35">
      <c r="B35" t="s">
        <v>247</v>
      </c>
      <c r="C35" t="s">
        <v>248</v>
      </c>
      <c r="D35" s="1106">
        <v>236.5</v>
      </c>
      <c r="E35" s="1106">
        <v>0</v>
      </c>
      <c r="F35" s="1106">
        <v>0</v>
      </c>
      <c r="G35" s="1106">
        <v>0</v>
      </c>
      <c r="H35" s="1106">
        <v>0</v>
      </c>
      <c r="I35" s="1106">
        <v>0</v>
      </c>
      <c r="J35" s="1106">
        <v>0</v>
      </c>
      <c r="K35" s="1106">
        <v>0</v>
      </c>
      <c r="L35" s="1106">
        <v>0</v>
      </c>
      <c r="M35" s="1106">
        <v>0</v>
      </c>
      <c r="N35" s="1106">
        <v>0</v>
      </c>
      <c r="O35" s="1106">
        <v>0</v>
      </c>
      <c r="P35" s="1106">
        <v>0</v>
      </c>
      <c r="Q35" s="1106">
        <v>0</v>
      </c>
      <c r="R35" s="1106">
        <v>0</v>
      </c>
    </row>
    <row r="36" spans="2:18" x14ac:dyDescent="0.35">
      <c r="B36" t="s">
        <v>249</v>
      </c>
      <c r="C36" t="s">
        <v>250</v>
      </c>
      <c r="D36" s="1106">
        <v>36.100000000000023</v>
      </c>
      <c r="E36" s="1106">
        <v>32.412642857142878</v>
      </c>
      <c r="F36" s="1106">
        <v>28.861246753246771</v>
      </c>
      <c r="G36" s="1106">
        <v>26.856993506493524</v>
      </c>
      <c r="H36" s="1106">
        <v>25.893545454545471</v>
      </c>
      <c r="I36" s="1106">
        <v>25.57708441558443</v>
      </c>
      <c r="J36" s="1106">
        <v>25.752896103896116</v>
      </c>
      <c r="K36" s="1106">
        <v>26.1467142857143</v>
      </c>
      <c r="L36" s="1106">
        <v>26.547564935064948</v>
      </c>
      <c r="M36" s="1106">
        <v>26.969512987013001</v>
      </c>
      <c r="N36" s="1106">
        <v>27.496948051948067</v>
      </c>
      <c r="O36" s="1106">
        <v>27.932961038961054</v>
      </c>
      <c r="P36" s="1106">
        <v>28.277551948051961</v>
      </c>
      <c r="Q36" s="1106">
        <v>28.706532467532483</v>
      </c>
      <c r="R36" s="1106">
        <v>29.121448051948068</v>
      </c>
    </row>
    <row r="37" spans="2:18" x14ac:dyDescent="0.35">
      <c r="B37" t="s">
        <v>251</v>
      </c>
      <c r="C37" t="s">
        <v>252</v>
      </c>
      <c r="D37" s="1106">
        <v>530.82100000000003</v>
      </c>
      <c r="E37" s="1106">
        <v>538.14001996493334</v>
      </c>
      <c r="F37" s="1106">
        <v>570.27040489328328</v>
      </c>
      <c r="G37" s="1106">
        <v>578.13335771320669</v>
      </c>
      <c r="H37" s="1106">
        <v>532.12913303510197</v>
      </c>
      <c r="I37" s="1106">
        <v>531.19254142829129</v>
      </c>
      <c r="J37" s="1106">
        <v>532.8055920209647</v>
      </c>
      <c r="K37" s="1106">
        <v>534.42354089818025</v>
      </c>
      <c r="L37" s="1106">
        <v>536.0464029343575</v>
      </c>
      <c r="M37" s="1106">
        <v>558.00706656737646</v>
      </c>
      <c r="N37" s="1106">
        <v>580.86741116936116</v>
      </c>
      <c r="O37" s="1106">
        <v>604.66429472691186</v>
      </c>
      <c r="P37" s="1106">
        <v>629.43608521875183</v>
      </c>
      <c r="Q37" s="1106">
        <v>655.22272247684373</v>
      </c>
      <c r="R37" s="1106">
        <v>682.06578258182287</v>
      </c>
    </row>
    <row r="38" spans="2:18" x14ac:dyDescent="0.35">
      <c r="B38" t="s">
        <v>253</v>
      </c>
      <c r="C38" t="s">
        <v>254</v>
      </c>
      <c r="D38" s="1106">
        <v>740</v>
      </c>
      <c r="E38" s="1106">
        <v>750.20320366762178</v>
      </c>
      <c r="F38" s="1106">
        <v>760.54709026103137</v>
      </c>
      <c r="G38" s="1106">
        <v>771.03359953231575</v>
      </c>
      <c r="H38" s="1106">
        <v>781.66469797908303</v>
      </c>
      <c r="I38" s="1106">
        <v>784.03834709124271</v>
      </c>
      <c r="J38" s="1106">
        <v>786.4192041662568</v>
      </c>
      <c r="K38" s="1106">
        <v>788.80729109225035</v>
      </c>
      <c r="L38" s="1106">
        <v>791.20262982381519</v>
      </c>
      <c r="M38" s="1106">
        <v>823.6164931087975</v>
      </c>
      <c r="N38" s="1106">
        <v>857.35828238069348</v>
      </c>
      <c r="O38" s="1106">
        <v>892.48239989977117</v>
      </c>
      <c r="P38" s="1106">
        <v>929.04547666942995</v>
      </c>
      <c r="Q38" s="1106">
        <v>967.10646374299392</v>
      </c>
      <c r="R38" s="1106">
        <v>1006.726727271148</v>
      </c>
    </row>
    <row r="39" spans="2:18" x14ac:dyDescent="0.35">
      <c r="B39" t="s">
        <v>76</v>
      </c>
      <c r="C39" t="s">
        <v>255</v>
      </c>
      <c r="D39" s="1106">
        <v>826.5</v>
      </c>
      <c r="E39" s="1106">
        <v>840.90322653846329</v>
      </c>
      <c r="F39" s="1106">
        <v>840.36452608091781</v>
      </c>
      <c r="G39" s="1106">
        <v>856.11491844085015</v>
      </c>
      <c r="H39" s="1106">
        <v>858.15980902786953</v>
      </c>
      <c r="I39" s="1106">
        <v>874.5047043210385</v>
      </c>
      <c r="J39" s="1106">
        <v>891.12996993440447</v>
      </c>
      <c r="K39" s="1106">
        <v>908.06562072077816</v>
      </c>
      <c r="L39" s="1106">
        <v>925.31745141197712</v>
      </c>
      <c r="M39" s="1106">
        <v>942.89136492448665</v>
      </c>
      <c r="N39" s="1106">
        <v>960.53728015007744</v>
      </c>
      <c r="O39" s="1106">
        <v>978.50792280104577</v>
      </c>
      <c r="P39" s="1106">
        <v>996.8092686456896</v>
      </c>
      <c r="Q39" s="1106">
        <v>1015.4474034208649</v>
      </c>
      <c r="R39" s="1106">
        <v>1034.4285248556728</v>
      </c>
    </row>
    <row r="40" spans="2:18" x14ac:dyDescent="0.35">
      <c r="B40" t="s">
        <v>256</v>
      </c>
      <c r="C40" t="s">
        <v>257</v>
      </c>
      <c r="D40" s="1106">
        <v>0</v>
      </c>
      <c r="E40" s="1106">
        <v>0</v>
      </c>
      <c r="F40" s="1106">
        <v>0</v>
      </c>
      <c r="G40" s="1106">
        <v>0</v>
      </c>
      <c r="H40" s="1106">
        <v>0</v>
      </c>
      <c r="I40" s="1106">
        <v>0</v>
      </c>
      <c r="J40" s="1106">
        <v>0</v>
      </c>
      <c r="K40" s="1106">
        <v>0</v>
      </c>
      <c r="L40" s="1106">
        <v>0</v>
      </c>
      <c r="M40" s="1106">
        <v>0</v>
      </c>
      <c r="N40" s="1106">
        <v>0</v>
      </c>
      <c r="O40" s="1106">
        <v>0</v>
      </c>
      <c r="P40" s="1106">
        <v>0</v>
      </c>
      <c r="Q40" s="1106">
        <v>0</v>
      </c>
      <c r="R40" s="1106">
        <v>0</v>
      </c>
    </row>
    <row r="41" spans="2:18" x14ac:dyDescent="0.35">
      <c r="B41" t="s">
        <v>258</v>
      </c>
      <c r="C41" t="s">
        <v>259</v>
      </c>
      <c r="D41" s="1106">
        <v>38.9</v>
      </c>
      <c r="E41" s="1106">
        <v>0</v>
      </c>
      <c r="F41" s="1106">
        <v>14.93</v>
      </c>
      <c r="G41" s="1106">
        <v>14.93</v>
      </c>
      <c r="H41" s="1106">
        <v>0</v>
      </c>
      <c r="I41" s="1106">
        <v>0</v>
      </c>
      <c r="J41" s="1106">
        <v>0</v>
      </c>
      <c r="K41" s="1106">
        <v>0</v>
      </c>
      <c r="L41" s="1106">
        <v>0</v>
      </c>
      <c r="M41" s="1106">
        <v>0</v>
      </c>
      <c r="N41" s="1106">
        <v>0</v>
      </c>
      <c r="O41" s="1106">
        <v>0</v>
      </c>
      <c r="P41" s="1106">
        <v>0</v>
      </c>
      <c r="Q41" s="1106">
        <v>0</v>
      </c>
      <c r="R41" s="1106">
        <v>0</v>
      </c>
    </row>
    <row r="42" spans="2:18" x14ac:dyDescent="0.35">
      <c r="B42" t="s">
        <v>260</v>
      </c>
      <c r="C42" t="s">
        <v>261</v>
      </c>
      <c r="D42" s="1106">
        <v>44.966160000000031</v>
      </c>
      <c r="E42" s="1106">
        <v>80.757000000000005</v>
      </c>
      <c r="F42" s="1106">
        <v>80.757000000000005</v>
      </c>
      <c r="G42" s="1106">
        <v>80.757000000000005</v>
      </c>
      <c r="H42" s="1106">
        <v>80.757000000000005</v>
      </c>
      <c r="I42" s="1106">
        <v>12</v>
      </c>
      <c r="J42" s="1106">
        <v>12</v>
      </c>
      <c r="K42" s="1106">
        <v>12</v>
      </c>
      <c r="L42" s="1106">
        <v>12</v>
      </c>
      <c r="M42" s="1106">
        <v>4.2219999999999995</v>
      </c>
      <c r="N42" s="1106">
        <v>4.2219999999999995</v>
      </c>
      <c r="O42" s="1106">
        <v>4.2219999999999995</v>
      </c>
      <c r="P42" s="1106">
        <v>4.2219999999999995</v>
      </c>
      <c r="Q42" s="1106">
        <v>2.3719999999999999</v>
      </c>
      <c r="R42" s="1106">
        <v>2.3719999999999999</v>
      </c>
    </row>
    <row r="43" spans="2:18" x14ac:dyDescent="0.35">
      <c r="B43" t="s">
        <v>262</v>
      </c>
      <c r="C43" t="s">
        <v>263</v>
      </c>
      <c r="D43" s="1106">
        <v>40.50400000000004</v>
      </c>
      <c r="E43" s="1106">
        <v>31.919000000000004</v>
      </c>
      <c r="F43" s="1106">
        <v>19.719000000000005</v>
      </c>
      <c r="G43" s="1106">
        <v>19.719000000000005</v>
      </c>
      <c r="H43" s="1106">
        <v>19.719000000000005</v>
      </c>
      <c r="I43" s="1106">
        <v>1.4159999999999999</v>
      </c>
      <c r="J43" s="1106">
        <v>1.4159999999999999</v>
      </c>
      <c r="K43" s="1106">
        <v>1.4159999999999999</v>
      </c>
      <c r="L43" s="1106">
        <v>1.4159999999999999</v>
      </c>
      <c r="M43" s="1106">
        <v>1.4790000000000001</v>
      </c>
      <c r="N43" s="1106">
        <v>1.4790000000000001</v>
      </c>
      <c r="O43" s="1106">
        <v>1.4790000000000001</v>
      </c>
      <c r="P43" s="1106">
        <v>1.4790000000000001</v>
      </c>
      <c r="Q43" s="1106">
        <v>1.63</v>
      </c>
      <c r="R43" s="1106">
        <v>1.63</v>
      </c>
    </row>
    <row r="44" spans="2:18" x14ac:dyDescent="0.35">
      <c r="B44" t="s">
        <v>264</v>
      </c>
      <c r="C44" t="s">
        <v>265</v>
      </c>
      <c r="D44" s="1106">
        <v>1917.9298399999998</v>
      </c>
      <c r="E44" s="1106">
        <v>1912.7993733112776</v>
      </c>
      <c r="F44" s="1106">
        <v>1773.2142400000012</v>
      </c>
      <c r="G44" s="1106">
        <v>1775.3142400000013</v>
      </c>
      <c r="H44" s="1106">
        <v>1735.4142400000014</v>
      </c>
      <c r="I44" s="1106">
        <v>1737.5142400000016</v>
      </c>
      <c r="J44" s="1106">
        <v>1791.2364000000016</v>
      </c>
      <c r="K44" s="1106">
        <v>1798.3364000000017</v>
      </c>
      <c r="L44" s="1106">
        <v>1805.4364000000019</v>
      </c>
      <c r="M44" s="1106">
        <v>1812.536400000002</v>
      </c>
      <c r="N44" s="1106">
        <v>1843.5874800000022</v>
      </c>
      <c r="O44" s="1106">
        <v>1850.6874800000023</v>
      </c>
      <c r="P44" s="1106">
        <v>1857.7874800000025</v>
      </c>
      <c r="Q44" s="1106">
        <v>1864.8874800000026</v>
      </c>
      <c r="R44" s="1106">
        <v>1896.5785600000027</v>
      </c>
    </row>
    <row r="45" spans="2:18" x14ac:dyDescent="0.35">
      <c r="B45" t="s">
        <v>266</v>
      </c>
      <c r="C45" t="s">
        <v>267</v>
      </c>
      <c r="D45" s="1106">
        <v>157.39999999999998</v>
      </c>
      <c r="E45" s="1106">
        <v>159.29790460874236</v>
      </c>
      <c r="F45" s="1106">
        <v>161.21869385473943</v>
      </c>
      <c r="G45" s="1106">
        <v>163.16264367737182</v>
      </c>
      <c r="H45" s="1106">
        <v>165.13003334325413</v>
      </c>
      <c r="I45" s="1106">
        <v>167.12114548635418</v>
      </c>
      <c r="J45" s="1106">
        <v>169.13626614859598</v>
      </c>
      <c r="K45" s="1106">
        <v>171.1756848209524</v>
      </c>
      <c r="L45" s="1106">
        <v>173.2396944850332</v>
      </c>
      <c r="M45" s="1106">
        <v>175.32859165517468</v>
      </c>
      <c r="N45" s="1106">
        <v>177.44267642103662</v>
      </c>
      <c r="O45" s="1106">
        <v>179.58225249071305</v>
      </c>
      <c r="P45" s="1106">
        <v>181.74762723436274</v>
      </c>
      <c r="Q45" s="1106">
        <v>183.93911172836584</v>
      </c>
      <c r="R45" s="1106">
        <v>186.1570208000129</v>
      </c>
    </row>
    <row r="46" spans="2:18" x14ac:dyDescent="0.35">
      <c r="B46" t="s">
        <v>268</v>
      </c>
      <c r="C46" t="s">
        <v>269</v>
      </c>
      <c r="D46" s="1106">
        <v>3739.4999999999995</v>
      </c>
      <c r="E46" s="1106">
        <v>3790.3567636578086</v>
      </c>
      <c r="F46" s="1106">
        <v>3785.9222713714485</v>
      </c>
      <c r="G46" s="1106">
        <v>3836.0261744822378</v>
      </c>
      <c r="H46" s="1106">
        <v>3882.096262937343</v>
      </c>
      <c r="I46" s="1106">
        <v>3925.0470587742493</v>
      </c>
      <c r="J46" s="1106">
        <v>3959.4970733399186</v>
      </c>
      <c r="K46" s="1106">
        <v>3998.2650613759206</v>
      </c>
      <c r="L46" s="1106">
        <v>4036.7059599652966</v>
      </c>
      <c r="M46" s="1106">
        <v>4074.3305460849683</v>
      </c>
      <c r="N46" s="1106">
        <v>4110.6880372649321</v>
      </c>
      <c r="O46" s="1106">
        <v>4146.6966412214333</v>
      </c>
      <c r="P46" s="1106">
        <v>4184.3468116836821</v>
      </c>
      <c r="Q46" s="1106">
        <v>4222.0255613752315</v>
      </c>
      <c r="R46" s="1106">
        <v>4260.7927835440778</v>
      </c>
    </row>
    <row r="47" spans="2:18" x14ac:dyDescent="0.35">
      <c r="B47" t="s">
        <v>270</v>
      </c>
      <c r="C47" t="s">
        <v>271</v>
      </c>
      <c r="D47" s="1106">
        <v>2105.9</v>
      </c>
      <c r="E47" s="1106">
        <v>2120.9227646076561</v>
      </c>
      <c r="F47" s="1106">
        <v>2150.1214626082142</v>
      </c>
      <c r="G47" s="1106">
        <v>2178.3025304043881</v>
      </c>
      <c r="H47" s="1106">
        <v>2207.6291426343887</v>
      </c>
      <c r="I47" s="1106">
        <v>2234.5192049980928</v>
      </c>
      <c r="J47" s="1106">
        <v>2258.6479016494136</v>
      </c>
      <c r="K47" s="1106">
        <v>2281.4446722707116</v>
      </c>
      <c r="L47" s="1106">
        <v>2304.1429547281373</v>
      </c>
      <c r="M47" s="1106">
        <v>2325.6941437487076</v>
      </c>
      <c r="N47" s="1106">
        <v>2346.2482634367179</v>
      </c>
      <c r="O47" s="1106">
        <v>2366.7752749938418</v>
      </c>
      <c r="P47" s="1106">
        <v>2388.1951121347661</v>
      </c>
      <c r="Q47" s="1106">
        <v>2408.6962876467583</v>
      </c>
      <c r="R47" s="1106">
        <v>2430.550117671296</v>
      </c>
    </row>
    <row r="48" spans="2:18" x14ac:dyDescent="0.35">
      <c r="B48" t="s">
        <v>272</v>
      </c>
      <c r="C48" t="s">
        <v>273</v>
      </c>
      <c r="D48" s="1106">
        <v>290.01506024096392</v>
      </c>
      <c r="E48" s="1106">
        <v>293.3295180722892</v>
      </c>
      <c r="F48" s="1106">
        <v>344.48724035608313</v>
      </c>
      <c r="G48" s="1106">
        <v>350.43471810089022</v>
      </c>
      <c r="H48" s="1106">
        <v>352.06735905044513</v>
      </c>
      <c r="I48" s="1106">
        <v>351.83412462908012</v>
      </c>
      <c r="J48" s="1106">
        <v>350.08486646884273</v>
      </c>
      <c r="K48" s="1106">
        <v>347.05281899109792</v>
      </c>
      <c r="L48" s="1106">
        <v>345.18694362017806</v>
      </c>
      <c r="M48" s="1106">
        <v>345.18694362017806</v>
      </c>
      <c r="N48" s="1106">
        <v>344.67382789317509</v>
      </c>
      <c r="O48" s="1106">
        <v>346.36477744807127</v>
      </c>
      <c r="P48" s="1106">
        <v>347.79916913946596</v>
      </c>
      <c r="Q48" s="1106">
        <v>349.7700000000001</v>
      </c>
      <c r="R48" s="1106">
        <v>350.71459940652824</v>
      </c>
    </row>
    <row r="49" spans="2:18" x14ac:dyDescent="0.35">
      <c r="B49" t="s">
        <v>274</v>
      </c>
      <c r="C49" t="s">
        <v>275</v>
      </c>
      <c r="D49" s="1106">
        <v>119.87954743783622</v>
      </c>
      <c r="E49" s="1106">
        <v>121.26270000000001</v>
      </c>
      <c r="F49" s="1106">
        <v>119.04620000000001</v>
      </c>
      <c r="G49" s="1106">
        <v>121.1015</v>
      </c>
      <c r="H49" s="1106">
        <v>121.6657</v>
      </c>
      <c r="I49" s="1106">
        <v>121.58510000000001</v>
      </c>
      <c r="J49" s="1106">
        <v>120.98060000000001</v>
      </c>
      <c r="K49" s="1106">
        <v>119.93280000000001</v>
      </c>
      <c r="L49" s="1106">
        <v>119.28800000000001</v>
      </c>
      <c r="M49" s="1106">
        <v>119.28800000000001</v>
      </c>
      <c r="N49" s="1106">
        <v>119.11068</v>
      </c>
      <c r="O49" s="1106">
        <v>119.69503</v>
      </c>
      <c r="P49" s="1106">
        <v>120.19072000000001</v>
      </c>
      <c r="Q49" s="1106">
        <v>120.87179000000002</v>
      </c>
      <c r="R49" s="1106">
        <v>121.19822000000001</v>
      </c>
    </row>
    <row r="52" spans="2:18" x14ac:dyDescent="0.35">
      <c r="B52" s="1136" t="s">
        <v>276</v>
      </c>
      <c r="C52" s="1136"/>
      <c r="D52" s="1136"/>
      <c r="E52" s="1136"/>
      <c r="F52" s="1136"/>
      <c r="G52" s="1136"/>
      <c r="H52" s="1136"/>
      <c r="I52" s="1136"/>
      <c r="J52" s="1136"/>
      <c r="K52" s="1136"/>
      <c r="L52" s="1136"/>
      <c r="M52" s="1136"/>
      <c r="N52" s="1136"/>
      <c r="O52" s="1136"/>
      <c r="P52" s="1136"/>
      <c r="Q52" s="1136"/>
      <c r="R52" s="1136"/>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0</v>
      </c>
      <c r="E54" s="208">
        <f t="shared" si="0"/>
        <v>-6.0822661571707499</v>
      </c>
      <c r="F54" s="208">
        <f t="shared" si="0"/>
        <v>-12.467754001813944</v>
      </c>
      <c r="G54" s="208">
        <f t="shared" si="0"/>
        <v>-19.169182926342216</v>
      </c>
      <c r="H54" s="208">
        <f t="shared" si="0"/>
        <v>-26.19978691754676</v>
      </c>
      <c r="I54" s="208">
        <f t="shared" si="0"/>
        <v>-33.573335197706115</v>
      </c>
      <c r="J54" s="208">
        <f t="shared" si="0"/>
        <v>-41.304153691905015</v>
      </c>
      <c r="K54" s="208">
        <f t="shared" si="0"/>
        <v>-49.407147354615176</v>
      </c>
      <c r="L54" s="208">
        <f t="shared" si="0"/>
        <v>-57.897823389916653</v>
      </c>
      <c r="M54" s="208">
        <f t="shared" si="0"/>
        <v>-66.792315401109136</v>
      </c>
      <c r="N54" s="208">
        <f t="shared" si="0"/>
        <v>-76.107408506895695</v>
      </c>
      <c r="O54" s="208">
        <f t="shared" ref="O54:R54" si="1">O4-O29</f>
        <v>-85.860565462806903</v>
      </c>
      <c r="P54" s="208">
        <f t="shared" si="1"/>
        <v>-96.069953828080713</v>
      </c>
      <c r="Q54" s="208">
        <f t="shared" si="1"/>
        <v>-106.75447421982369</v>
      </c>
      <c r="R54" s="208">
        <f t="shared" si="1"/>
        <v>-117.93378969794855</v>
      </c>
    </row>
    <row r="55" spans="2:18" x14ac:dyDescent="0.35">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0</v>
      </c>
      <c r="E56" s="208">
        <f t="shared" si="4"/>
        <v>3.5109999999999673</v>
      </c>
      <c r="F56" s="208">
        <f t="shared" si="4"/>
        <v>3.5109999999999673</v>
      </c>
      <c r="G56" s="208">
        <f t="shared" si="4"/>
        <v>3.5109999999999673</v>
      </c>
      <c r="H56" s="208">
        <f t="shared" si="4"/>
        <v>3.5109999999999673</v>
      </c>
      <c r="I56" s="208">
        <f t="shared" si="4"/>
        <v>8.5</v>
      </c>
      <c r="J56" s="208">
        <f t="shared" si="4"/>
        <v>8.5</v>
      </c>
      <c r="K56" s="208">
        <f t="shared" si="4"/>
        <v>8.5</v>
      </c>
      <c r="L56" s="208">
        <f t="shared" si="4"/>
        <v>8.5</v>
      </c>
      <c r="M56" s="208">
        <f t="shared" si="4"/>
        <v>12.299999999999955</v>
      </c>
      <c r="N56" s="208">
        <f t="shared" si="4"/>
        <v>12.299999999999955</v>
      </c>
      <c r="O56" s="208">
        <f t="shared" ref="O56:R56" si="5">O6-O31</f>
        <v>12.299999999999955</v>
      </c>
      <c r="P56" s="208">
        <f t="shared" si="5"/>
        <v>12.299999999999955</v>
      </c>
      <c r="Q56" s="208">
        <f t="shared" si="5"/>
        <v>15.299999999999955</v>
      </c>
      <c r="R56" s="208">
        <f t="shared" si="5"/>
        <v>15.299999999999955</v>
      </c>
    </row>
    <row r="57" spans="2:18" x14ac:dyDescent="0.35">
      <c r="B57" t="s">
        <v>241</v>
      </c>
      <c r="C57" t="s">
        <v>242</v>
      </c>
      <c r="D57" s="208">
        <f t="shared" si="4"/>
        <v>0</v>
      </c>
      <c r="E57" s="208">
        <f t="shared" si="4"/>
        <v>0</v>
      </c>
      <c r="F57" s="208">
        <f t="shared" si="4"/>
        <v>0</v>
      </c>
      <c r="G57" s="208">
        <f t="shared" si="4"/>
        <v>0</v>
      </c>
      <c r="H57" s="208">
        <f t="shared" si="4"/>
        <v>0</v>
      </c>
      <c r="I57" s="208">
        <f t="shared" si="4"/>
        <v>0</v>
      </c>
      <c r="J57" s="208">
        <f t="shared" si="4"/>
        <v>0</v>
      </c>
      <c r="K57" s="208">
        <f t="shared" si="4"/>
        <v>0</v>
      </c>
      <c r="L57" s="208">
        <f t="shared" si="4"/>
        <v>0</v>
      </c>
      <c r="M57" s="208">
        <f t="shared" si="4"/>
        <v>0</v>
      </c>
      <c r="N57" s="208">
        <f t="shared" si="4"/>
        <v>0</v>
      </c>
      <c r="O57" s="208">
        <f t="shared" ref="O57:R57" si="6">O7-O32</f>
        <v>0</v>
      </c>
      <c r="P57" s="208">
        <f t="shared" si="6"/>
        <v>0</v>
      </c>
      <c r="Q57" s="208">
        <f t="shared" si="6"/>
        <v>0</v>
      </c>
      <c r="R57" s="208">
        <f t="shared" si="6"/>
        <v>0</v>
      </c>
    </row>
    <row r="58" spans="2:18" x14ac:dyDescent="0.35">
      <c r="B58" t="s">
        <v>243</v>
      </c>
      <c r="C58" t="s">
        <v>244</v>
      </c>
      <c r="D58" s="208">
        <f t="shared" si="4"/>
        <v>0</v>
      </c>
      <c r="E58" s="208">
        <f t="shared" si="4"/>
        <v>45</v>
      </c>
      <c r="F58" s="208">
        <f t="shared" si="4"/>
        <v>45</v>
      </c>
      <c r="G58" s="208">
        <f t="shared" si="4"/>
        <v>45</v>
      </c>
      <c r="H58" s="208">
        <f t="shared" si="4"/>
        <v>45</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x14ac:dyDescent="0.35">
      <c r="B62" t="s">
        <v>251</v>
      </c>
      <c r="C62" t="s">
        <v>252</v>
      </c>
      <c r="D62" s="208">
        <f t="shared" si="4"/>
        <v>0</v>
      </c>
      <c r="E62" s="208">
        <f t="shared" si="4"/>
        <v>5.0162947114131384E-2</v>
      </c>
      <c r="F62" s="208">
        <f t="shared" si="4"/>
        <v>-18.717695696179362</v>
      </c>
      <c r="G62" s="208">
        <f t="shared" si="4"/>
        <v>-18.923655292947046</v>
      </c>
      <c r="H62" s="208">
        <f t="shared" si="4"/>
        <v>0.19667345746927367</v>
      </c>
      <c r="I62" s="208">
        <f t="shared" si="4"/>
        <v>-8.1707118092473365</v>
      </c>
      <c r="J62" s="208">
        <f t="shared" si="4"/>
        <v>-16.704092892394556</v>
      </c>
      <c r="K62" s="208">
        <f t="shared" si="4"/>
        <v>-25.15080634182732</v>
      </c>
      <c r="L62" s="208">
        <f t="shared" si="4"/>
        <v>-33.512078580661637</v>
      </c>
      <c r="M62" s="208">
        <f t="shared" si="4"/>
        <v>-48.555297222794024</v>
      </c>
      <c r="N62" s="208">
        <f t="shared" si="4"/>
        <v>-64.402977377463003</v>
      </c>
      <c r="O62" s="208">
        <f t="shared" ref="O62:R62" si="11">O12-O37</f>
        <v>-81.09066632407928</v>
      </c>
      <c r="P62" s="208">
        <f t="shared" si="11"/>
        <v>-98.655403292135702</v>
      </c>
      <c r="Q62" s="208">
        <f t="shared" si="11"/>
        <v>-117.13578107397245</v>
      </c>
      <c r="R62" s="208">
        <f t="shared" si="11"/>
        <v>-136.57201016844135</v>
      </c>
    </row>
    <row r="63" spans="2:18" x14ac:dyDescent="0.35">
      <c r="B63" t="s">
        <v>253</v>
      </c>
      <c r="C63" t="s">
        <v>254</v>
      </c>
      <c r="D63" s="208">
        <f t="shared" si="4"/>
        <v>0</v>
      </c>
      <c r="E63" s="208">
        <f t="shared" si="4"/>
        <v>6.9930505508409624E-2</v>
      </c>
      <c r="F63" s="208">
        <f t="shared" si="4"/>
        <v>0.14179603893057902</v>
      </c>
      <c r="G63" s="208">
        <f t="shared" si="4"/>
        <v>0.21563675814411454</v>
      </c>
      <c r="H63" s="208">
        <f t="shared" si="4"/>
        <v>0.29149356183097552</v>
      </c>
      <c r="I63" s="208">
        <f t="shared" si="4"/>
        <v>-12.428559788325742</v>
      </c>
      <c r="J63" s="208">
        <f t="shared" si="4"/>
        <v>-25.018923303462657</v>
      </c>
      <c r="K63" s="208">
        <f t="shared" si="4"/>
        <v>-37.481430226319617</v>
      </c>
      <c r="L63" s="208">
        <f t="shared" si="4"/>
        <v>-49.817889899278384</v>
      </c>
      <c r="M63" s="208">
        <f t="shared" si="4"/>
        <v>-72.026503697857038</v>
      </c>
      <c r="N63" s="208">
        <f t="shared" si="4"/>
        <v>-95.422567005386895</v>
      </c>
      <c r="O63" s="208">
        <f t="shared" ref="O63:R63" si="12">O13-O38</f>
        <v>-120.05854840664006</v>
      </c>
      <c r="P63" s="208">
        <f t="shared" si="12"/>
        <v>-145.9891186122461</v>
      </c>
      <c r="Q63" s="208">
        <f t="shared" si="12"/>
        <v>-173.27124139909495</v>
      </c>
      <c r="R63" s="208">
        <f t="shared" si="12"/>
        <v>-201.96426828634003</v>
      </c>
    </row>
    <row r="64" spans="2:18" x14ac:dyDescent="0.35">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x14ac:dyDescent="0.35">
      <c r="B69" t="s">
        <v>264</v>
      </c>
      <c r="C69" t="s">
        <v>265</v>
      </c>
      <c r="D69" s="208">
        <f t="shared" si="4"/>
        <v>0</v>
      </c>
      <c r="E69" s="208">
        <f t="shared" si="4"/>
        <v>42.5</v>
      </c>
      <c r="F69" s="208">
        <f t="shared" si="4"/>
        <v>42.5</v>
      </c>
      <c r="G69" s="208">
        <f t="shared" si="4"/>
        <v>42.5</v>
      </c>
      <c r="H69" s="208">
        <f t="shared" si="4"/>
        <v>42.5</v>
      </c>
      <c r="I69" s="208">
        <f t="shared" si="4"/>
        <v>105</v>
      </c>
      <c r="J69" s="208">
        <f t="shared" si="4"/>
        <v>105</v>
      </c>
      <c r="K69" s="208">
        <f t="shared" si="4"/>
        <v>105</v>
      </c>
      <c r="L69" s="208">
        <f t="shared" si="4"/>
        <v>105</v>
      </c>
      <c r="M69" s="208">
        <f t="shared" si="4"/>
        <v>128.70000000000005</v>
      </c>
      <c r="N69" s="208">
        <f t="shared" si="4"/>
        <v>128.70000000000005</v>
      </c>
      <c r="O69" s="208">
        <f t="shared" ref="O69:R69" si="18">O19-O44</f>
        <v>128.70000000000005</v>
      </c>
      <c r="P69" s="208">
        <f t="shared" si="18"/>
        <v>128.70000000000005</v>
      </c>
      <c r="Q69" s="208">
        <f t="shared" si="18"/>
        <v>128.20000000000005</v>
      </c>
      <c r="R69" s="208">
        <f t="shared" si="18"/>
        <v>128.20000000000005</v>
      </c>
    </row>
    <row r="70" spans="2:18" x14ac:dyDescent="0.35">
      <c r="B70" t="s">
        <v>266</v>
      </c>
      <c r="C70" t="s">
        <v>267</v>
      </c>
      <c r="D70" s="208">
        <f t="shared" si="4"/>
        <v>0</v>
      </c>
      <c r="E70" s="208">
        <f t="shared" si="4"/>
        <v>0</v>
      </c>
      <c r="F70" s="208">
        <f t="shared" si="4"/>
        <v>0</v>
      </c>
      <c r="G70" s="208">
        <f t="shared" si="4"/>
        <v>0</v>
      </c>
      <c r="H70" s="208">
        <f t="shared" si="4"/>
        <v>0</v>
      </c>
      <c r="I70" s="208">
        <f t="shared" si="4"/>
        <v>0</v>
      </c>
      <c r="J70" s="208">
        <f t="shared" si="4"/>
        <v>0</v>
      </c>
      <c r="K70" s="208">
        <f t="shared" si="4"/>
        <v>0</v>
      </c>
      <c r="L70" s="208">
        <f t="shared" si="4"/>
        <v>0</v>
      </c>
      <c r="M70" s="208">
        <f t="shared" si="4"/>
        <v>0</v>
      </c>
      <c r="N70" s="208">
        <f t="shared" si="4"/>
        <v>0</v>
      </c>
      <c r="O70" s="208">
        <f t="shared" ref="O70:R70" si="19">O20-O45</f>
        <v>0</v>
      </c>
      <c r="P70" s="208">
        <f t="shared" si="19"/>
        <v>0</v>
      </c>
      <c r="Q70" s="208">
        <f t="shared" si="19"/>
        <v>0</v>
      </c>
      <c r="R70" s="208">
        <f t="shared" si="19"/>
        <v>0</v>
      </c>
    </row>
    <row r="71" spans="2:18" x14ac:dyDescent="0.35">
      <c r="B71" t="s">
        <v>268</v>
      </c>
      <c r="C71" t="s">
        <v>269</v>
      </c>
      <c r="D71" s="208">
        <f t="shared" si="4"/>
        <v>0</v>
      </c>
      <c r="E71" s="208">
        <f t="shared" si="4"/>
        <v>33.465764900821341</v>
      </c>
      <c r="F71" s="208">
        <f t="shared" si="4"/>
        <v>124.6344868961155</v>
      </c>
      <c r="G71" s="208">
        <f t="shared" si="4"/>
        <v>163.75308790001463</v>
      </c>
      <c r="H71" s="208">
        <f t="shared" si="4"/>
        <v>209.47287199756511</v>
      </c>
      <c r="I71" s="208">
        <f t="shared" si="4"/>
        <v>171.97937813479348</v>
      </c>
      <c r="J71" s="208">
        <f t="shared" si="4"/>
        <v>143.27832931700505</v>
      </c>
      <c r="K71" s="208">
        <f t="shared" si="4"/>
        <v>110.55296268556776</v>
      </c>
      <c r="L71" s="208">
        <f t="shared" si="4"/>
        <v>78.450363679990005</v>
      </c>
      <c r="M71" s="208">
        <f t="shared" si="4"/>
        <v>92.81549006643354</v>
      </c>
      <c r="N71" s="208">
        <f t="shared" si="4"/>
        <v>109.21644241810463</v>
      </c>
      <c r="O71" s="208">
        <f t="shared" ref="O71:R71" si="20">O21-O46</f>
        <v>126.74742986346337</v>
      </c>
      <c r="P71" s="208">
        <f t="shared" si="20"/>
        <v>143.43062461884892</v>
      </c>
      <c r="Q71" s="208">
        <f t="shared" si="20"/>
        <v>127.9251158322686</v>
      </c>
      <c r="R71" s="208">
        <f t="shared" si="20"/>
        <v>111.48398880356126</v>
      </c>
    </row>
    <row r="72" spans="2:18" x14ac:dyDescent="0.35">
      <c r="B72" t="s">
        <v>270</v>
      </c>
      <c r="C72" t="s">
        <v>271</v>
      </c>
      <c r="D72" s="208">
        <f t="shared" si="4"/>
        <v>0</v>
      </c>
      <c r="E72" s="208">
        <f t="shared" si="4"/>
        <v>0</v>
      </c>
      <c r="F72" s="208">
        <f t="shared" si="4"/>
        <v>0</v>
      </c>
      <c r="G72" s="208">
        <f t="shared" si="4"/>
        <v>0</v>
      </c>
      <c r="H72" s="208">
        <f t="shared" si="4"/>
        <v>0</v>
      </c>
      <c r="I72" s="208">
        <f t="shared" si="4"/>
        <v>0</v>
      </c>
      <c r="J72" s="208">
        <f t="shared" si="4"/>
        <v>0</v>
      </c>
      <c r="K72" s="208">
        <f t="shared" si="4"/>
        <v>0</v>
      </c>
      <c r="L72" s="208">
        <f t="shared" si="4"/>
        <v>0</v>
      </c>
      <c r="M72" s="208">
        <f t="shared" si="4"/>
        <v>0</v>
      </c>
      <c r="N72" s="208">
        <f t="shared" si="4"/>
        <v>0</v>
      </c>
      <c r="O72" s="208">
        <f t="shared" ref="O72:R72" si="21">O22-O47</f>
        <v>0</v>
      </c>
      <c r="P72" s="208">
        <f t="shared" si="21"/>
        <v>0</v>
      </c>
      <c r="Q72" s="208">
        <f t="shared" si="21"/>
        <v>0</v>
      </c>
      <c r="R72" s="208">
        <f t="shared" si="21"/>
        <v>0</v>
      </c>
    </row>
    <row r="73" spans="2:18" x14ac:dyDescent="0.35">
      <c r="B73" t="s">
        <v>272</v>
      </c>
      <c r="C73" t="s">
        <v>273</v>
      </c>
      <c r="D73" s="208">
        <f t="shared" si="4"/>
        <v>0</v>
      </c>
      <c r="E73" s="208">
        <f t="shared" si="4"/>
        <v>0.53546847866465441</v>
      </c>
      <c r="F73" s="208">
        <f t="shared" si="4"/>
        <v>-46.721220036857574</v>
      </c>
      <c r="G73" s="208">
        <f t="shared" si="4"/>
        <v>-48.715878107763956</v>
      </c>
      <c r="H73" s="208">
        <f t="shared" si="4"/>
        <v>-46.343226024108617</v>
      </c>
      <c r="I73" s="208">
        <f t="shared" si="4"/>
        <v>-33.249273948697407</v>
      </c>
      <c r="J73" s="208">
        <f t="shared" si="4"/>
        <v>-18.098293873677733</v>
      </c>
      <c r="K73" s="208">
        <f t="shared" si="4"/>
        <v>-1.1007621117298072</v>
      </c>
      <c r="L73" s="208">
        <f t="shared" si="4"/>
        <v>15.318075373498516</v>
      </c>
      <c r="M73" s="208">
        <f t="shared" si="4"/>
        <v>7.1233902390724779</v>
      </c>
      <c r="N73" s="208">
        <f t="shared" si="4"/>
        <v>-0.37190474520986072</v>
      </c>
      <c r="O73" s="208">
        <f t="shared" ref="O73:R73" si="22">O23-O48</f>
        <v>-9.8892248156977303</v>
      </c>
      <c r="P73" s="208">
        <f t="shared" si="22"/>
        <v>-18.972084805678492</v>
      </c>
      <c r="Q73" s="208">
        <f t="shared" si="22"/>
        <v>-20.093161869254061</v>
      </c>
      <c r="R73" s="208">
        <f t="shared" si="22"/>
        <v>-20.185811548044626</v>
      </c>
    </row>
    <row r="74" spans="2:18" x14ac:dyDescent="0.35">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x14ac:dyDescent="0.35">
      <c r="B77" s="1136" t="s">
        <v>277</v>
      </c>
      <c r="C77" s="1136"/>
      <c r="D77" s="1136"/>
      <c r="E77" s="1136"/>
      <c r="F77" s="1136"/>
      <c r="G77" s="1136"/>
      <c r="H77" s="1136"/>
      <c r="I77" s="1136"/>
      <c r="J77" s="1136"/>
      <c r="K77" s="1136"/>
      <c r="L77" s="1136"/>
      <c r="M77" s="1136"/>
      <c r="N77" s="1136"/>
      <c r="O77" s="1136"/>
      <c r="P77" s="1136"/>
      <c r="Q77" s="1136"/>
      <c r="R77" s="1136"/>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3">
        <f t="shared" ref="D79:N79" si="24">(D4/D29-1)</f>
        <v>0</v>
      </c>
      <c r="E79" s="793">
        <f t="shared" si="24"/>
        <v>-1.604384364386835E-2</v>
      </c>
      <c r="F79" s="793">
        <f t="shared" si="24"/>
        <v>-3.2553939457497072E-2</v>
      </c>
      <c r="G79" s="793">
        <f t="shared" si="24"/>
        <v>-4.7435475136072713E-2</v>
      </c>
      <c r="H79" s="793">
        <f t="shared" si="24"/>
        <v>-6.2059058967979031E-2</v>
      </c>
      <c r="I79" s="793">
        <f t="shared" si="24"/>
        <v>-7.5867771903245118E-2</v>
      </c>
      <c r="J79" s="793">
        <f t="shared" si="24"/>
        <v>-8.9288554741323023E-2</v>
      </c>
      <c r="K79" s="793">
        <f t="shared" si="24"/>
        <v>-0.10866470341408629</v>
      </c>
      <c r="L79" s="793">
        <f t="shared" si="24"/>
        <v>-0.12540950710782539</v>
      </c>
      <c r="M79" s="793">
        <f t="shared" si="24"/>
        <v>-0.14082157653940519</v>
      </c>
      <c r="N79" s="793">
        <f t="shared" si="24"/>
        <v>-0.16459899117904264</v>
      </c>
      <c r="O79" s="793">
        <f t="shared" ref="O79:R79" si="25">(O4/O29-1)</f>
        <v>-0.18914530426689702</v>
      </c>
      <c r="P79" s="793">
        <f t="shared" si="25"/>
        <v>-0.20515768818908475</v>
      </c>
      <c r="Q79" s="793">
        <f t="shared" si="25"/>
        <v>-0.22134433824337252</v>
      </c>
      <c r="R79" s="793">
        <f t="shared" si="25"/>
        <v>-0.24126877289646076</v>
      </c>
    </row>
    <row r="80" spans="2:18" x14ac:dyDescent="0.35">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x14ac:dyDescent="0.35">
      <c r="B81" t="s">
        <v>239</v>
      </c>
      <c r="C81" t="s">
        <v>240</v>
      </c>
      <c r="D81" s="793">
        <f t="shared" si="26"/>
        <v>0</v>
      </c>
      <c r="E81" s="793">
        <f t="shared" si="26"/>
        <v>2.2307263744683059E-3</v>
      </c>
      <c r="F81" s="793">
        <f t="shared" si="26"/>
        <v>2.2138353955092338E-3</v>
      </c>
      <c r="G81" s="793">
        <f t="shared" si="26"/>
        <v>2.2110822169862931E-3</v>
      </c>
      <c r="H81" s="793">
        <f t="shared" si="26"/>
        <v>2.2119952301400403E-3</v>
      </c>
      <c r="I81" s="793">
        <f t="shared" si="26"/>
        <v>5.354595775708848E-3</v>
      </c>
      <c r="J81" s="793">
        <f t="shared" si="26"/>
        <v>5.3403144216297438E-3</v>
      </c>
      <c r="K81" s="793">
        <f t="shared" si="26"/>
        <v>5.3204870059555542E-3</v>
      </c>
      <c r="L81" s="793">
        <f t="shared" si="26"/>
        <v>5.2953157287987107E-3</v>
      </c>
      <c r="M81" s="793">
        <f t="shared" si="26"/>
        <v>7.6202575409198836E-3</v>
      </c>
      <c r="N81" s="793">
        <f t="shared" si="26"/>
        <v>7.578913064617554E-3</v>
      </c>
      <c r="O81" s="793">
        <f t="shared" ref="O81:R81" si="28">(O6/O31-1)</f>
        <v>7.5377929069437855E-3</v>
      </c>
      <c r="P81" s="793">
        <f t="shared" si="28"/>
        <v>7.4950630928811712E-3</v>
      </c>
      <c r="Q81" s="793">
        <f t="shared" si="28"/>
        <v>9.2725436940546135E-3</v>
      </c>
      <c r="R81" s="793">
        <f t="shared" si="28"/>
        <v>9.2154791769818445E-3</v>
      </c>
    </row>
    <row r="82" spans="2:18" x14ac:dyDescent="0.35">
      <c r="B82" t="s">
        <v>241</v>
      </c>
      <c r="C82" t="s">
        <v>242</v>
      </c>
      <c r="D82" s="793">
        <f t="shared" si="26"/>
        <v>0</v>
      </c>
      <c r="E82" s="793">
        <f t="shared" si="26"/>
        <v>0</v>
      </c>
      <c r="F82" s="793">
        <f t="shared" si="26"/>
        <v>0</v>
      </c>
      <c r="G82" s="793">
        <f t="shared" si="26"/>
        <v>0</v>
      </c>
      <c r="H82" s="793">
        <f t="shared" si="26"/>
        <v>0</v>
      </c>
      <c r="I82" s="793">
        <f t="shared" si="26"/>
        <v>0</v>
      </c>
      <c r="J82" s="793">
        <f t="shared" si="26"/>
        <v>0</v>
      </c>
      <c r="K82" s="793">
        <f t="shared" si="26"/>
        <v>0</v>
      </c>
      <c r="L82" s="793">
        <f t="shared" si="26"/>
        <v>0</v>
      </c>
      <c r="M82" s="793">
        <f t="shared" si="26"/>
        <v>0</v>
      </c>
      <c r="N82" s="793">
        <f t="shared" si="26"/>
        <v>0</v>
      </c>
      <c r="O82" s="793">
        <f t="shared" ref="O82:R82" si="29">(O7/O32-1)</f>
        <v>0</v>
      </c>
      <c r="P82" s="793">
        <f t="shared" si="29"/>
        <v>0</v>
      </c>
      <c r="Q82" s="793">
        <f t="shared" si="29"/>
        <v>0</v>
      </c>
      <c r="R82" s="793">
        <f t="shared" si="29"/>
        <v>0</v>
      </c>
    </row>
    <row r="83" spans="2:18" x14ac:dyDescent="0.35">
      <c r="B83" t="s">
        <v>243</v>
      </c>
      <c r="C83" t="s">
        <v>244</v>
      </c>
      <c r="D83" s="793">
        <f t="shared" si="26"/>
        <v>0</v>
      </c>
      <c r="E83" s="793">
        <f t="shared" si="26"/>
        <v>0.63294938355348629</v>
      </c>
      <c r="F83" s="793">
        <f t="shared" si="26"/>
        <v>3.8656472811614053</v>
      </c>
      <c r="G83" s="793">
        <f t="shared" si="26"/>
        <v>6.7760879385634496</v>
      </c>
      <c r="H83" s="793">
        <f t="shared" si="26"/>
        <v>6.7760879385634496</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x14ac:dyDescent="0.35">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x14ac:dyDescent="0.35">
      <c r="B85" t="s">
        <v>247</v>
      </c>
      <c r="C85" t="s">
        <v>248</v>
      </c>
      <c r="D85" s="793">
        <f t="shared" si="26"/>
        <v>0</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x14ac:dyDescent="0.35">
      <c r="B86" t="s">
        <v>249</v>
      </c>
      <c r="C86" t="s">
        <v>250</v>
      </c>
      <c r="D86" s="793">
        <f t="shared" si="26"/>
        <v>0</v>
      </c>
      <c r="E86" s="793">
        <f t="shared" si="26"/>
        <v>0</v>
      </c>
      <c r="F86" s="793">
        <f t="shared" si="26"/>
        <v>0</v>
      </c>
      <c r="G86" s="793">
        <f t="shared" si="26"/>
        <v>0</v>
      </c>
      <c r="H86" s="793">
        <f t="shared" si="26"/>
        <v>0</v>
      </c>
      <c r="I86" s="793">
        <f t="shared" si="26"/>
        <v>0</v>
      </c>
      <c r="J86" s="793">
        <f t="shared" si="26"/>
        <v>0</v>
      </c>
      <c r="K86" s="793">
        <f t="shared" si="26"/>
        <v>0</v>
      </c>
      <c r="L86" s="793">
        <f t="shared" si="26"/>
        <v>0</v>
      </c>
      <c r="M86" s="793">
        <f t="shared" si="26"/>
        <v>0</v>
      </c>
      <c r="N86" s="793">
        <f t="shared" si="26"/>
        <v>0</v>
      </c>
      <c r="O86" s="793">
        <f t="shared" ref="O86:R86" si="33">(O11/O36-1)</f>
        <v>0</v>
      </c>
      <c r="P86" s="793">
        <f t="shared" si="33"/>
        <v>0</v>
      </c>
      <c r="Q86" s="793">
        <f t="shared" si="33"/>
        <v>0</v>
      </c>
      <c r="R86" s="793">
        <f t="shared" si="33"/>
        <v>0</v>
      </c>
    </row>
    <row r="87" spans="2:18" x14ac:dyDescent="0.35">
      <c r="B87" t="s">
        <v>251</v>
      </c>
      <c r="C87" t="s">
        <v>252</v>
      </c>
      <c r="D87" s="793">
        <f t="shared" si="26"/>
        <v>0</v>
      </c>
      <c r="E87" s="793">
        <f t="shared" si="26"/>
        <v>9.3215418391245919E-5</v>
      </c>
      <c r="F87" s="793">
        <f t="shared" si="26"/>
        <v>-3.2822491813654708E-2</v>
      </c>
      <c r="G87" s="793">
        <f t="shared" si="26"/>
        <v>-3.2732335957570635E-2</v>
      </c>
      <c r="H87" s="793">
        <f t="shared" si="26"/>
        <v>3.6959723732388206E-4</v>
      </c>
      <c r="I87" s="793">
        <f t="shared" si="26"/>
        <v>-1.5381827062702413E-2</v>
      </c>
      <c r="J87" s="793">
        <f t="shared" si="26"/>
        <v>-3.1351196651361879E-2</v>
      </c>
      <c r="K87" s="793">
        <f t="shared" si="26"/>
        <v>-4.7061561508981331E-2</v>
      </c>
      <c r="L87" s="793">
        <f t="shared" si="26"/>
        <v>-6.2517122393162317E-2</v>
      </c>
      <c r="M87" s="793">
        <f t="shared" si="26"/>
        <v>-8.7015559715911239E-2</v>
      </c>
      <c r="N87" s="793">
        <f t="shared" si="26"/>
        <v>-0.11087380035284045</v>
      </c>
      <c r="O87" s="793">
        <f t="shared" ref="O87:R87" si="34">(O12/O37-1)</f>
        <v>-0.13410857401577303</v>
      </c>
      <c r="P87" s="793">
        <f t="shared" si="34"/>
        <v>-0.1567361732332988</v>
      </c>
      <c r="Q87" s="793">
        <f t="shared" si="34"/>
        <v>-0.17877246477530728</v>
      </c>
      <c r="R87" s="793">
        <f t="shared" si="34"/>
        <v>-0.20023290077897682</v>
      </c>
    </row>
    <row r="88" spans="2:18" x14ac:dyDescent="0.35">
      <c r="B88" t="s">
        <v>253</v>
      </c>
      <c r="C88" t="s">
        <v>254</v>
      </c>
      <c r="D88" s="793">
        <f t="shared" si="26"/>
        <v>0</v>
      </c>
      <c r="E88" s="793">
        <f t="shared" si="26"/>
        <v>9.3215418391245919E-5</v>
      </c>
      <c r="F88" s="793">
        <f t="shared" si="26"/>
        <v>1.8643952589703083E-4</v>
      </c>
      <c r="G88" s="793">
        <f t="shared" si="26"/>
        <v>2.7967232332670733E-4</v>
      </c>
      <c r="H88" s="793">
        <f t="shared" si="26"/>
        <v>3.7291381149051617E-4</v>
      </c>
      <c r="I88" s="793">
        <f t="shared" si="26"/>
        <v>-1.5851979478344824E-2</v>
      </c>
      <c r="J88" s="793">
        <f t="shared" si="26"/>
        <v>-3.1813723737821431E-2</v>
      </c>
      <c r="K88" s="793">
        <f t="shared" si="26"/>
        <v>-4.751658694029004E-2</v>
      </c>
      <c r="L88" s="793">
        <f t="shared" si="26"/>
        <v>-6.2964767837503044E-2</v>
      </c>
      <c r="M88" s="793">
        <f t="shared" si="26"/>
        <v>-8.7451507225150382E-2</v>
      </c>
      <c r="N88" s="793">
        <f t="shared" si="26"/>
        <v>-0.11129835561909962</v>
      </c>
      <c r="O88" s="793">
        <f t="shared" ref="O88:R88" si="35">(O13/O38-1)</f>
        <v>-0.13452203474278379</v>
      </c>
      <c r="P88" s="793">
        <f t="shared" si="35"/>
        <v>-0.15713882934515544</v>
      </c>
      <c r="Q88" s="793">
        <f t="shared" si="35"/>
        <v>-0.17916459861976619</v>
      </c>
      <c r="R88" s="793">
        <f t="shared" si="35"/>
        <v>-0.20061478732544247</v>
      </c>
    </row>
    <row r="89" spans="2:18" x14ac:dyDescent="0.35">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x14ac:dyDescent="0.35">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x14ac:dyDescent="0.35">
      <c r="B91" t="s">
        <v>258</v>
      </c>
      <c r="C91" t="s">
        <v>259</v>
      </c>
      <c r="D91" s="793">
        <f t="shared" si="26"/>
        <v>0</v>
      </c>
      <c r="E91" s="793" t="e">
        <f t="shared" si="26"/>
        <v>#DIV/0!</v>
      </c>
      <c r="F91" s="793">
        <f t="shared" si="26"/>
        <v>0</v>
      </c>
      <c r="G91" s="793">
        <f t="shared" si="26"/>
        <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x14ac:dyDescent="0.35">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x14ac:dyDescent="0.35">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x14ac:dyDescent="0.35">
      <c r="B94" t="s">
        <v>264</v>
      </c>
      <c r="C94" t="s">
        <v>265</v>
      </c>
      <c r="D94" s="793">
        <f t="shared" si="26"/>
        <v>0</v>
      </c>
      <c r="E94" s="793">
        <f t="shared" si="26"/>
        <v>2.2218744209659302E-2</v>
      </c>
      <c r="F94" s="793">
        <f t="shared" si="26"/>
        <v>2.396777503884695E-2</v>
      </c>
      <c r="G94" s="793">
        <f t="shared" si="26"/>
        <v>2.393942381716041E-2</v>
      </c>
      <c r="H94" s="793">
        <f t="shared" si="26"/>
        <v>2.4489830162970128E-2</v>
      </c>
      <c r="I94" s="793">
        <f t="shared" si="26"/>
        <v>6.0431159401605816E-2</v>
      </c>
      <c r="J94" s="793">
        <f t="shared" si="26"/>
        <v>5.8618728382250351E-2</v>
      </c>
      <c r="K94" s="793">
        <f t="shared" si="26"/>
        <v>5.8387296169948977E-2</v>
      </c>
      <c r="L94" s="793">
        <f t="shared" si="26"/>
        <v>5.8157684203109961E-2</v>
      </c>
      <c r="M94" s="793">
        <f t="shared" si="26"/>
        <v>7.100547056599793E-2</v>
      </c>
      <c r="N94" s="793">
        <f t="shared" si="26"/>
        <v>6.9809543293275045E-2</v>
      </c>
      <c r="O94" s="793">
        <f t="shared" ref="O94:R94" si="41">(O19/O44-1)</f>
        <v>6.9541725110713992E-2</v>
      </c>
      <c r="P94" s="793">
        <f t="shared" si="41"/>
        <v>6.9275953996632555E-2</v>
      </c>
      <c r="Q94" s="793">
        <f t="shared" si="41"/>
        <v>6.8744093879594237E-2</v>
      </c>
      <c r="R94" s="793">
        <f t="shared" si="41"/>
        <v>6.7595407173642208E-2</v>
      </c>
    </row>
    <row r="95" spans="2:18" x14ac:dyDescent="0.35">
      <c r="B95" t="s">
        <v>266</v>
      </c>
      <c r="C95" t="s">
        <v>267</v>
      </c>
      <c r="D95" s="793">
        <f t="shared" si="26"/>
        <v>0</v>
      </c>
      <c r="E95" s="793">
        <f t="shared" si="26"/>
        <v>0</v>
      </c>
      <c r="F95" s="793">
        <f t="shared" si="26"/>
        <v>0</v>
      </c>
      <c r="G95" s="793">
        <f t="shared" si="26"/>
        <v>0</v>
      </c>
      <c r="H95" s="793">
        <f t="shared" si="26"/>
        <v>0</v>
      </c>
      <c r="I95" s="793">
        <f t="shared" si="26"/>
        <v>0</v>
      </c>
      <c r="J95" s="793">
        <f t="shared" si="26"/>
        <v>0</v>
      </c>
      <c r="K95" s="793">
        <f t="shared" si="26"/>
        <v>0</v>
      </c>
      <c r="L95" s="793">
        <f t="shared" si="26"/>
        <v>0</v>
      </c>
      <c r="M95" s="793">
        <f t="shared" si="26"/>
        <v>0</v>
      </c>
      <c r="N95" s="793">
        <f t="shared" si="26"/>
        <v>0</v>
      </c>
      <c r="O95" s="793">
        <f t="shared" ref="O95:R95" si="42">(O20/O45-1)</f>
        <v>0</v>
      </c>
      <c r="P95" s="793">
        <f t="shared" si="42"/>
        <v>0</v>
      </c>
      <c r="Q95" s="793">
        <f t="shared" si="42"/>
        <v>0</v>
      </c>
      <c r="R95" s="793">
        <f t="shared" si="42"/>
        <v>0</v>
      </c>
    </row>
    <row r="96" spans="2:18" x14ac:dyDescent="0.35">
      <c r="B96" t="s">
        <v>268</v>
      </c>
      <c r="C96" t="s">
        <v>269</v>
      </c>
      <c r="D96" s="793">
        <f t="shared" si="26"/>
        <v>0</v>
      </c>
      <c r="E96" s="793">
        <f t="shared" si="26"/>
        <v>8.8291860074209971E-3</v>
      </c>
      <c r="F96" s="793">
        <f t="shared" si="26"/>
        <v>3.2920508653487612E-2</v>
      </c>
      <c r="G96" s="793">
        <f t="shared" si="26"/>
        <v>4.2688209217476736E-2</v>
      </c>
      <c r="H96" s="793">
        <f t="shared" si="26"/>
        <v>5.3958701126867403E-2</v>
      </c>
      <c r="I96" s="793">
        <f t="shared" si="26"/>
        <v>4.3815876742252513E-2</v>
      </c>
      <c r="J96" s="793">
        <f t="shared" si="26"/>
        <v>3.6185991974012621E-2</v>
      </c>
      <c r="K96" s="793">
        <f t="shared" si="26"/>
        <v>2.7650233535923441E-2</v>
      </c>
      <c r="L96" s="793">
        <f t="shared" si="26"/>
        <v>1.943425269465604E-2</v>
      </c>
      <c r="M96" s="793">
        <f t="shared" si="26"/>
        <v>2.2780549839192643E-2</v>
      </c>
      <c r="N96" s="793">
        <f t="shared" si="26"/>
        <v>2.6568895870476394E-2</v>
      </c>
      <c r="O96" s="793">
        <f t="shared" ref="O96:R96" si="43">(O21/O46-1)</f>
        <v>3.0565879501165849E-2</v>
      </c>
      <c r="P96" s="793">
        <f t="shared" si="43"/>
        <v>3.4277900727147426E-2</v>
      </c>
      <c r="Q96" s="793">
        <f t="shared" si="43"/>
        <v>3.0299465025171335E-2</v>
      </c>
      <c r="R96" s="793">
        <f t="shared" si="43"/>
        <v>2.6165081116859668E-2</v>
      </c>
    </row>
    <row r="97" spans="2:18" x14ac:dyDescent="0.35">
      <c r="B97" t="s">
        <v>270</v>
      </c>
      <c r="C97" t="s">
        <v>271</v>
      </c>
      <c r="D97" s="793">
        <f t="shared" si="26"/>
        <v>0</v>
      </c>
      <c r="E97" s="793">
        <f t="shared" si="26"/>
        <v>0</v>
      </c>
      <c r="F97" s="793">
        <f t="shared" si="26"/>
        <v>0</v>
      </c>
      <c r="G97" s="793">
        <f t="shared" si="26"/>
        <v>0</v>
      </c>
      <c r="H97" s="793">
        <f t="shared" si="26"/>
        <v>0</v>
      </c>
      <c r="I97" s="793">
        <f t="shared" si="26"/>
        <v>0</v>
      </c>
      <c r="J97" s="793">
        <f t="shared" si="26"/>
        <v>0</v>
      </c>
      <c r="K97" s="793">
        <f t="shared" si="26"/>
        <v>0</v>
      </c>
      <c r="L97" s="793">
        <f t="shared" si="26"/>
        <v>0</v>
      </c>
      <c r="M97" s="793">
        <f t="shared" si="26"/>
        <v>0</v>
      </c>
      <c r="N97" s="793">
        <f t="shared" si="26"/>
        <v>0</v>
      </c>
      <c r="O97" s="793">
        <f t="shared" ref="O97:R97" si="44">(O22/O47-1)</f>
        <v>0</v>
      </c>
      <c r="P97" s="793">
        <f t="shared" si="44"/>
        <v>0</v>
      </c>
      <c r="Q97" s="793">
        <f t="shared" si="44"/>
        <v>0</v>
      </c>
      <c r="R97" s="793">
        <f t="shared" si="44"/>
        <v>0</v>
      </c>
    </row>
    <row r="98" spans="2:18" x14ac:dyDescent="0.35">
      <c r="B98" t="s">
        <v>272</v>
      </c>
      <c r="C98" t="s">
        <v>273</v>
      </c>
      <c r="D98" s="793">
        <f t="shared" si="26"/>
        <v>0</v>
      </c>
      <c r="E98" s="793">
        <f t="shared" si="26"/>
        <v>1.8254844660150482E-3</v>
      </c>
      <c r="F98" s="793">
        <f>(F23/F48-1)</f>
        <v>-0.13562540077990592</v>
      </c>
      <c r="G98" s="793">
        <f t="shared" si="26"/>
        <v>-0.13901555865175053</v>
      </c>
      <c r="H98" s="793">
        <f t="shared" si="26"/>
        <v>-0.13163170294769766</v>
      </c>
      <c r="I98" s="793">
        <f t="shared" si="26"/>
        <v>-9.4502697780524669E-2</v>
      </c>
      <c r="J98" s="793">
        <f t="shared" si="26"/>
        <v>-5.1696875835358203E-2</v>
      </c>
      <c r="K98" s="793">
        <f t="shared" si="26"/>
        <v>-3.1717423155639413E-3</v>
      </c>
      <c r="L98" s="793">
        <f t="shared" si="26"/>
        <v>4.4376172554062565E-2</v>
      </c>
      <c r="M98" s="793">
        <f t="shared" si="26"/>
        <v>2.0636325824972657E-2</v>
      </c>
      <c r="N98" s="793">
        <f t="shared" si="26"/>
        <v>-1.0790048884278258E-3</v>
      </c>
      <c r="O98" s="793">
        <f t="shared" ref="O98:R98" si="45">(O23/O48-1)</f>
        <v>-2.8551473647404513E-2</v>
      </c>
      <c r="P98" s="793">
        <f t="shared" si="45"/>
        <v>-5.4548965291146945E-2</v>
      </c>
      <c r="Q98" s="793">
        <f t="shared" si="45"/>
        <v>-5.7446784656357219E-2</v>
      </c>
      <c r="R98" s="793">
        <f t="shared" si="45"/>
        <v>-5.7556233992547279E-2</v>
      </c>
    </row>
    <row r="99" spans="2:18" x14ac:dyDescent="0.35">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I9" sqref="I9"/>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373.02054063783805</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Purchases'!O14</f>
        <v>1562.1</v>
      </c>
      <c r="D4" s="208">
        <f>'Federal and State Purchases'!P14</f>
        <v>1577.4377891323836</v>
      </c>
      <c r="E4" s="208">
        <f>'Federal and State Purchases'!Q14</f>
        <v>1589.4464345503814</v>
      </c>
      <c r="F4" s="208">
        <f>'Federal and State Purchases'!R14</f>
        <v>1591.4211975616902</v>
      </c>
      <c r="G4" s="208">
        <f>'Federal and State Purchases'!S14</f>
        <v>1590.7657789253951</v>
      </c>
      <c r="H4" s="208">
        <f>'Federal and State Purchases'!T14</f>
        <v>1595.9214144343857</v>
      </c>
      <c r="I4" s="208">
        <f>'Federal and State Purchases'!U14</f>
        <v>1600.1665815728984</v>
      </c>
      <c r="J4" s="208">
        <f>'Federal and State Purchases'!V14</f>
        <v>1606.0981128204228</v>
      </c>
      <c r="K4" s="208">
        <f>'Federal and State Purchases'!W14</f>
        <v>1613.6922935912212</v>
      </c>
      <c r="L4" s="208">
        <f>'Federal and State Purchases'!X14</f>
        <v>1626.4186743296079</v>
      </c>
      <c r="M4" s="208">
        <f>'Federal and State Purchases'!Y14</f>
        <v>1635.2240123392974</v>
      </c>
      <c r="N4" s="208">
        <f>'Federal and State Purchases'!Z14</f>
        <v>1644.0773852169912</v>
      </c>
      <c r="O4" s="208">
        <f>'Federal and State Purchases'!AA14</f>
        <v>1653.3802481012544</v>
      </c>
      <c r="P4" s="208">
        <f>'Federal and State Purchases'!AB14</f>
        <v>1665.332666851727</v>
      </c>
      <c r="Q4" s="208">
        <f>'Federal and State Purchases'!AC14</f>
        <v>1675.5500755702192</v>
      </c>
    </row>
    <row r="5" spans="1:17" x14ac:dyDescent="0.35">
      <c r="A5" t="s">
        <v>241</v>
      </c>
      <c r="B5" t="s">
        <v>242</v>
      </c>
      <c r="C5" s="208">
        <f>'Federal and State Purchases'!O28</f>
        <v>2514.9</v>
      </c>
      <c r="D5" s="208">
        <f>'Federal and State Purchases'!P28</f>
        <v>2575.543516678471</v>
      </c>
      <c r="E5" s="208">
        <f>'Federal and State Purchases'!Q28</f>
        <v>2631.6341692094484</v>
      </c>
      <c r="F5" s="208">
        <f>'Federal and State Purchases'!R28</f>
        <v>2682.757733843011</v>
      </c>
      <c r="G5" s="208">
        <f>'Federal and State Purchases'!S28</f>
        <v>2728.521623719575</v>
      </c>
      <c r="H5" s="208">
        <f>'Federal and State Purchases'!T28</f>
        <v>2765.2889285658985</v>
      </c>
      <c r="I5" s="208">
        <f>'Federal and State Purchases'!U28</f>
        <v>2799.2252025612861</v>
      </c>
      <c r="J5" s="208">
        <f>'Federal and State Purchases'!V28</f>
        <v>2833.5779504667935</v>
      </c>
      <c r="K5" s="208">
        <f>'Federal and State Purchases'!W28</f>
        <v>2868.3522833478787</v>
      </c>
      <c r="L5" s="208">
        <f>'Federal and State Purchases'!X28</f>
        <v>2903.5533749941942</v>
      </c>
      <c r="M5" s="208">
        <f>'Federal and State Purchases'!Y28</f>
        <v>2939.1864626893512</v>
      </c>
      <c r="N5" s="208">
        <f>'Federal and State Purchases'!Z28</f>
        <v>2939.1864626893512</v>
      </c>
      <c r="O5" s="208">
        <f>'Federal and State Purchases'!AA28</f>
        <v>2939.1864626893512</v>
      </c>
      <c r="P5" s="208">
        <f>'Federal and State Purchases'!AB28</f>
        <v>2939.1864626893512</v>
      </c>
      <c r="Q5" s="208">
        <f>'Federal and State Purchases'!AC28</f>
        <v>2939.1864626893512</v>
      </c>
    </row>
    <row r="6" spans="1:17" x14ac:dyDescent="0.35">
      <c r="A6" t="s">
        <v>243</v>
      </c>
      <c r="B6" t="s">
        <v>244</v>
      </c>
      <c r="C6" s="208">
        <f>Subsidies!O44</f>
        <v>286.71096</v>
      </c>
      <c r="D6" s="208">
        <f>Subsidies!P44</f>
        <v>116.09573240653509</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78" customFormat="1" x14ac:dyDescent="0.35">
      <c r="A10" s="1078" t="s">
        <v>251</v>
      </c>
      <c r="B10" s="1078" t="s">
        <v>252</v>
      </c>
      <c r="C10" s="1079">
        <f>Medicaid!O26</f>
        <v>530.82100000000003</v>
      </c>
      <c r="D10" s="1079">
        <f>Medicaid!P26</f>
        <v>538.19018291204748</v>
      </c>
      <c r="E10" s="1079">
        <f>Medicaid!Q26</f>
        <v>551.55270919710392</v>
      </c>
      <c r="F10" s="1079">
        <f>Medicaid!R26</f>
        <v>559.20970242025965</v>
      </c>
      <c r="G10" s="1079">
        <f>Medicaid!S26</f>
        <v>532.32580649257125</v>
      </c>
      <c r="H10" s="1079">
        <f>Medicaid!T26</f>
        <v>523.02182961904396</v>
      </c>
      <c r="I10" s="1079">
        <f>Medicaid!U26</f>
        <v>516.10149912857014</v>
      </c>
      <c r="J10" s="1079">
        <f>Medicaid!V26</f>
        <v>509.27273455635293</v>
      </c>
      <c r="K10" s="1079">
        <f>Medicaid!W26</f>
        <v>502.53432435369587</v>
      </c>
      <c r="L10" s="1079">
        <f>Medicaid!X26</f>
        <v>509.45176934458243</v>
      </c>
      <c r="M10" s="1079">
        <f>Medicaid!Y26</f>
        <v>516.46443379189816</v>
      </c>
      <c r="N10" s="1079">
        <f>Medicaid!Z26</f>
        <v>523.57362840283258</v>
      </c>
      <c r="O10" s="1079">
        <f>Medicaid!AA26</f>
        <v>530.78068192661613</v>
      </c>
      <c r="P10" s="1079">
        <f>Medicaid!AB26</f>
        <v>538.08694140287128</v>
      </c>
      <c r="Q10" s="1079">
        <f>Medicaid!AC26</f>
        <v>545.49377241338152</v>
      </c>
    </row>
    <row r="11" spans="1:17" s="1078" customFormat="1" x14ac:dyDescent="0.35">
      <c r="A11" s="1078" t="s">
        <v>253</v>
      </c>
      <c r="B11" s="1078" t="s">
        <v>254</v>
      </c>
      <c r="C11" s="1079">
        <f>Medicaid!O25</f>
        <v>740</v>
      </c>
      <c r="D11" s="1079">
        <f>Medicaid!P25</f>
        <v>750.27313417313019</v>
      </c>
      <c r="E11" s="1079">
        <f>Medicaid!Q25</f>
        <v>760.68888629996195</v>
      </c>
      <c r="F11" s="1079">
        <f>Medicaid!R25</f>
        <v>771.24923629045986</v>
      </c>
      <c r="G11" s="1079">
        <f>Medicaid!S25</f>
        <v>781.95619154091401</v>
      </c>
      <c r="H11" s="1079">
        <f>Medicaid!T25</f>
        <v>771.60978730291697</v>
      </c>
      <c r="I11" s="1079">
        <f>Medicaid!U25</f>
        <v>761.40028086279415</v>
      </c>
      <c r="J11" s="1079">
        <f>Medicaid!V25</f>
        <v>751.32586086593074</v>
      </c>
      <c r="K11" s="1079">
        <f>Medicaid!W25</f>
        <v>741.3847399245368</v>
      </c>
      <c r="L11" s="1079">
        <f>Medicaid!X25</f>
        <v>751.58998941094046</v>
      </c>
      <c r="M11" s="1079">
        <f>Medicaid!Y25</f>
        <v>761.93571537530659</v>
      </c>
      <c r="N11" s="1079">
        <f>Medicaid!Z25</f>
        <v>772.42385149313111</v>
      </c>
      <c r="O11" s="1079">
        <f>Medicaid!AA25</f>
        <v>783.05635805718384</v>
      </c>
      <c r="P11" s="1079">
        <f>Medicaid!AB25</f>
        <v>793.83522234389898</v>
      </c>
      <c r="Q11" s="1079">
        <f>Medicaid!AC25</f>
        <v>804.76245898480795</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1231</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Benefits'!O27</f>
        <v>1917.9298399999998</v>
      </c>
      <c r="D17" s="208">
        <f>'Social Benefits'!P27</f>
        <v>1955.2993733112776</v>
      </c>
      <c r="E17" s="208">
        <f>'Social Benefits'!Q27</f>
        <v>1815.7142400000012</v>
      </c>
      <c r="F17" s="208">
        <f>'Social Benefits'!R27</f>
        <v>1817.8142400000013</v>
      </c>
      <c r="G17" s="208">
        <f>'Social Benefits'!S27</f>
        <v>1777.9142400000014</v>
      </c>
      <c r="H17" s="208">
        <f>'Social Benefits'!T27</f>
        <v>1842.5142400000016</v>
      </c>
      <c r="I17" s="208">
        <f>'Social Benefits'!U27</f>
        <v>1896.2364000000016</v>
      </c>
      <c r="J17" s="208">
        <f>'Social Benefits'!V27</f>
        <v>1903.3364000000017</v>
      </c>
      <c r="K17" s="208">
        <f>'Social Benefits'!W27</f>
        <v>1910.4364000000019</v>
      </c>
      <c r="L17" s="208">
        <f>'Social Benefits'!X27</f>
        <v>1941.236400000002</v>
      </c>
      <c r="M17" s="208">
        <f>'Social Benefits'!Y27</f>
        <v>1972.2874800000022</v>
      </c>
      <c r="N17" s="208">
        <f>'Social Benefits'!Z27</f>
        <v>1979.3874800000024</v>
      </c>
      <c r="O17" s="208">
        <f>'Social Benefits'!AA27</f>
        <v>1986.4874800000025</v>
      </c>
      <c r="P17" s="208">
        <f>'Social Benefits'!AB27</f>
        <v>1993.0874800000026</v>
      </c>
      <c r="Q17" s="208">
        <f>'Social Benefits'!AC27</f>
        <v>2024.7785600000027</v>
      </c>
    </row>
    <row r="18" spans="1:17" x14ac:dyDescent="0.35">
      <c r="A18" t="s">
        <v>266</v>
      </c>
      <c r="B18" t="s">
        <v>267</v>
      </c>
      <c r="C18" s="208">
        <f>'Social Benefits'!O31</f>
        <v>157.39999999999998</v>
      </c>
      <c r="D18" s="208">
        <f>'Social Benefits'!P31</f>
        <v>159.29790460874236</v>
      </c>
      <c r="E18" s="208">
        <f>'Social Benefits'!Q31</f>
        <v>161.21869385473943</v>
      </c>
      <c r="F18" s="208">
        <f>'Social Benefits'!R31</f>
        <v>163.16264367737182</v>
      </c>
      <c r="G18" s="208">
        <f>'Social Benefits'!S31</f>
        <v>165.13003334325413</v>
      </c>
      <c r="H18" s="208">
        <f>'Social Benefits'!T31</f>
        <v>167.12114548635418</v>
      </c>
      <c r="I18" s="208">
        <f>'Social Benefits'!U31</f>
        <v>169.13626614859598</v>
      </c>
      <c r="J18" s="208">
        <f>'Social Benefits'!V31</f>
        <v>171.1756848209524</v>
      </c>
      <c r="K18" s="208">
        <f>'Social Benefits'!W31</f>
        <v>173.2396944850332</v>
      </c>
      <c r="L18" s="208">
        <f>'Social Benefits'!X31</f>
        <v>175.32859165517468</v>
      </c>
      <c r="M18" s="208">
        <f>'Social Benefits'!Y31</f>
        <v>177.44267642103662</v>
      </c>
      <c r="N18" s="208">
        <f>'Social Benefits'!Z31</f>
        <v>179.58225249071305</v>
      </c>
      <c r="O18" s="208">
        <f>'Social Benefits'!AA31</f>
        <v>181.74762723436274</v>
      </c>
      <c r="P18" s="208">
        <f>'Social Benefits'!AB31</f>
        <v>183.93911172836584</v>
      </c>
      <c r="Q18" s="208">
        <f>'Social Benefits'!AC31</f>
        <v>186.1570208000129</v>
      </c>
    </row>
    <row r="19" spans="1:17" x14ac:dyDescent="0.35">
      <c r="A19" t="s">
        <v>268</v>
      </c>
      <c r="B19" t="s">
        <v>269</v>
      </c>
      <c r="C19" s="208">
        <f>Taxes!O9</f>
        <v>3739.4999999999995</v>
      </c>
      <c r="D19" s="208">
        <f>Taxes!P9</f>
        <v>3823.82252855863</v>
      </c>
      <c r="E19" s="208">
        <f>Taxes!Q9</f>
        <v>3910.556758267564</v>
      </c>
      <c r="F19" s="208">
        <f>Taxes!R9</f>
        <v>3999.7792623822525</v>
      </c>
      <c r="G19" s="208">
        <f>Taxes!S9</f>
        <v>4091.5691349349081</v>
      </c>
      <c r="H19" s="208">
        <f>Taxes!T9</f>
        <v>4097.0264369090428</v>
      </c>
      <c r="I19" s="208">
        <f>Taxes!U9</f>
        <v>4102.7754026569237</v>
      </c>
      <c r="J19" s="208">
        <f>Taxes!V9</f>
        <v>4108.8180240614884</v>
      </c>
      <c r="K19" s="208">
        <f>Taxes!W9</f>
        <v>4115.1563236452866</v>
      </c>
      <c r="L19" s="208">
        <f>Taxes!X9</f>
        <v>4167.1460361514019</v>
      </c>
      <c r="M19" s="208">
        <f>Taxes!Y9</f>
        <v>4219.9044796830367</v>
      </c>
      <c r="N19" s="208">
        <f>Taxes!Z9</f>
        <v>4273.4440710848967</v>
      </c>
      <c r="O19" s="208">
        <f>Taxes!AA9</f>
        <v>4327.777436302531</v>
      </c>
      <c r="P19" s="208">
        <f>Taxes!AB9</f>
        <v>4349.9506772075001</v>
      </c>
      <c r="Q19" s="208">
        <f>Taxes!AC9</f>
        <v>4372.2767723476391</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36" t="s">
        <v>278</v>
      </c>
      <c r="C1" s="1136"/>
      <c r="D1" s="1136"/>
      <c r="E1" s="1136"/>
      <c r="F1" s="1136"/>
      <c r="G1" s="1136"/>
      <c r="H1" s="1136"/>
      <c r="I1" s="1136"/>
      <c r="J1" s="1136"/>
      <c r="K1" s="1136"/>
    </row>
    <row r="2" spans="2:11" x14ac:dyDescent="0.35">
      <c r="B2" s="1137" t="s">
        <v>279</v>
      </c>
      <c r="C2" s="1137"/>
      <c r="D2" s="1137"/>
      <c r="E2" s="1137"/>
      <c r="F2" s="1137"/>
      <c r="G2" s="1137"/>
      <c r="H2" s="1137"/>
      <c r="I2" s="1137"/>
      <c r="J2" s="1137"/>
      <c r="K2" s="1137"/>
    </row>
    <row r="3" spans="2:11" x14ac:dyDescent="0.35">
      <c r="B3" s="1137"/>
      <c r="C3" s="1137"/>
      <c r="D3" s="1137"/>
      <c r="E3" s="1137"/>
      <c r="F3" s="1137"/>
      <c r="G3" s="1137"/>
      <c r="H3" s="1137"/>
      <c r="I3" s="1137"/>
      <c r="J3" s="1137"/>
      <c r="K3" s="1137"/>
    </row>
    <row r="4" spans="2:11" x14ac:dyDescent="0.35">
      <c r="B4" s="1137"/>
      <c r="C4" s="1137"/>
      <c r="D4" s="1137"/>
      <c r="E4" s="1137"/>
      <c r="F4" s="1137"/>
      <c r="G4" s="1137"/>
      <c r="H4" s="1137"/>
      <c r="I4" s="1137"/>
      <c r="J4" s="1137"/>
      <c r="K4" s="1137"/>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36" t="s">
        <v>278</v>
      </c>
      <c r="C1" s="1136"/>
      <c r="D1" s="1136"/>
      <c r="E1" s="1136"/>
      <c r="F1" s="1136"/>
      <c r="G1" s="1136"/>
      <c r="H1" s="1136"/>
      <c r="I1" s="1136"/>
      <c r="J1" s="1136"/>
      <c r="K1" s="1136"/>
    </row>
    <row r="2" spans="2:17" ht="14.5" customHeight="1" x14ac:dyDescent="0.35">
      <c r="B2" s="1137" t="s">
        <v>279</v>
      </c>
      <c r="C2" s="1137"/>
      <c r="D2" s="1137"/>
      <c r="E2" s="1137"/>
      <c r="F2" s="1137"/>
      <c r="G2" s="1137"/>
      <c r="H2" s="1137"/>
      <c r="I2" s="1137"/>
      <c r="J2" s="1137"/>
      <c r="K2" s="1137"/>
    </row>
    <row r="3" spans="2:17" x14ac:dyDescent="0.35">
      <c r="B3" s="1137"/>
      <c r="C3" s="1137"/>
      <c r="D3" s="1137"/>
      <c r="E3" s="1137"/>
      <c r="F3" s="1137"/>
      <c r="G3" s="1137"/>
      <c r="H3" s="1137"/>
      <c r="I3" s="1137"/>
      <c r="J3" s="1137"/>
      <c r="K3" s="1137"/>
    </row>
    <row r="4" spans="2:17" x14ac:dyDescent="0.35">
      <c r="B4" s="1137"/>
      <c r="C4" s="1137"/>
      <c r="D4" s="1137"/>
      <c r="E4" s="1137"/>
      <c r="F4" s="1137"/>
      <c r="G4" s="1137"/>
      <c r="H4" s="1137"/>
      <c r="I4" s="1137"/>
      <c r="J4" s="1137"/>
      <c r="K4" s="1137"/>
    </row>
    <row r="5" spans="2:17" x14ac:dyDescent="0.35">
      <c r="B5" s="1141"/>
      <c r="C5" s="1141"/>
      <c r="D5" s="1141"/>
      <c r="E5" s="1141"/>
      <c r="F5" s="297"/>
      <c r="G5" s="297"/>
    </row>
    <row r="6" spans="2:17" x14ac:dyDescent="0.35">
      <c r="B6" s="786"/>
      <c r="C6" s="880"/>
      <c r="D6" s="1142">
        <v>2021</v>
      </c>
      <c r="E6" s="1143"/>
      <c r="F6" s="1143"/>
      <c r="G6" s="1143"/>
      <c r="H6" s="1143"/>
      <c r="I6" s="1143"/>
      <c r="J6" s="1143"/>
      <c r="K6" s="1144"/>
    </row>
    <row r="7" spans="2:17" ht="58" x14ac:dyDescent="0.35">
      <c r="B7" s="787"/>
      <c r="C7" s="441" t="s">
        <v>280</v>
      </c>
      <c r="D7" s="273" t="s">
        <v>281</v>
      </c>
      <c r="E7" s="273" t="s">
        <v>282</v>
      </c>
      <c r="F7" s="273" t="s">
        <v>283</v>
      </c>
      <c r="G7" s="273" t="s">
        <v>284</v>
      </c>
      <c r="H7" s="785" t="s">
        <v>285</v>
      </c>
      <c r="I7" s="653" t="s">
        <v>286</v>
      </c>
      <c r="J7" s="758" t="s">
        <v>287</v>
      </c>
      <c r="K7" s="811" t="s">
        <v>288</v>
      </c>
      <c r="L7" s="1" t="s">
        <v>289</v>
      </c>
      <c r="M7" s="1" t="s">
        <v>290</v>
      </c>
    </row>
    <row r="8" spans="2:17" x14ac:dyDescent="0.35">
      <c r="B8" s="788">
        <v>1</v>
      </c>
      <c r="C8" s="794" t="s">
        <v>291</v>
      </c>
      <c r="D8" s="759">
        <v>21504.5</v>
      </c>
      <c r="E8" s="760">
        <v>19955.099999999999</v>
      </c>
      <c r="F8" s="761">
        <v>24142.400000000001</v>
      </c>
      <c r="G8" s="760">
        <v>20848.2</v>
      </c>
      <c r="H8" s="761">
        <v>20404.599999999999</v>
      </c>
      <c r="I8" s="761">
        <v>20441.8</v>
      </c>
      <c r="J8" s="762">
        <v>20667.7</v>
      </c>
      <c r="K8" s="762">
        <v>20716.7</v>
      </c>
    </row>
    <row r="9" spans="2:17" x14ac:dyDescent="0.35">
      <c r="B9" s="788">
        <v>2</v>
      </c>
      <c r="C9" s="795" t="s">
        <v>292</v>
      </c>
      <c r="D9" s="763">
        <v>12088.1</v>
      </c>
      <c r="E9" s="764">
        <v>12049.5</v>
      </c>
      <c r="F9" s="765">
        <v>12129.2</v>
      </c>
      <c r="G9" s="764">
        <v>12216.6</v>
      </c>
      <c r="H9" s="765">
        <v>12296.1</v>
      </c>
      <c r="I9" s="765">
        <v>12391</v>
      </c>
      <c r="J9" s="766">
        <v>12500.9</v>
      </c>
      <c r="K9" s="766">
        <v>12574.7</v>
      </c>
    </row>
    <row r="10" spans="2:17" x14ac:dyDescent="0.35">
      <c r="B10" s="787">
        <v>3</v>
      </c>
      <c r="C10" s="796" t="s">
        <v>293</v>
      </c>
      <c r="D10" s="767">
        <v>9879.5</v>
      </c>
      <c r="E10" s="768">
        <v>9843.2999999999993</v>
      </c>
      <c r="F10" s="769">
        <v>9914.9</v>
      </c>
      <c r="G10" s="768">
        <v>9996</v>
      </c>
      <c r="H10" s="769">
        <v>10067.4</v>
      </c>
      <c r="I10" s="769">
        <v>10152.9</v>
      </c>
      <c r="J10" s="770">
        <v>10251.4</v>
      </c>
      <c r="K10" s="770">
        <v>10318.299999999999</v>
      </c>
    </row>
    <row r="11" spans="2:17" x14ac:dyDescent="0.35">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x14ac:dyDescent="0.35">
      <c r="B12" s="787">
        <v>5</v>
      </c>
      <c r="C12" s="796" t="s">
        <v>295</v>
      </c>
      <c r="D12" s="767">
        <v>1503</v>
      </c>
      <c r="E12" s="768">
        <v>1499.6</v>
      </c>
      <c r="F12" s="769">
        <v>1505.6</v>
      </c>
      <c r="G12" s="768">
        <v>1511.5</v>
      </c>
      <c r="H12" s="769">
        <v>1517.1</v>
      </c>
      <c r="I12" s="769">
        <v>1529.6</v>
      </c>
      <c r="J12" s="770">
        <v>1545.8</v>
      </c>
      <c r="K12" s="770">
        <v>1548.8</v>
      </c>
    </row>
    <row r="13" spans="2:17" x14ac:dyDescent="0.35">
      <c r="B13" s="787">
        <v>6</v>
      </c>
      <c r="C13" s="797" t="s">
        <v>296</v>
      </c>
      <c r="D13" s="771">
        <v>2208.6</v>
      </c>
      <c r="E13" s="298">
        <v>2206.1999999999998</v>
      </c>
      <c r="F13" s="772">
        <v>2214.4</v>
      </c>
      <c r="G13" s="298">
        <v>2220.6999999999998</v>
      </c>
      <c r="H13" s="772">
        <v>2228.6</v>
      </c>
      <c r="I13" s="772">
        <v>2238.1999999999998</v>
      </c>
      <c r="J13" s="773">
        <v>2249.5</v>
      </c>
      <c r="K13" s="773">
        <v>2256.4</v>
      </c>
    </row>
    <row r="14" spans="2:17" x14ac:dyDescent="0.35">
      <c r="B14" s="788">
        <v>7</v>
      </c>
      <c r="C14" s="798" t="s">
        <v>297</v>
      </c>
      <c r="D14" s="774">
        <v>1643.8</v>
      </c>
      <c r="E14" s="760">
        <v>1693.8</v>
      </c>
      <c r="F14" s="775">
        <v>1804.2</v>
      </c>
      <c r="G14" s="760">
        <v>1817.9</v>
      </c>
      <c r="H14" s="775">
        <v>1840.7</v>
      </c>
      <c r="I14" s="775">
        <v>1855.9</v>
      </c>
      <c r="J14" s="776">
        <v>1851.9</v>
      </c>
      <c r="K14" s="776">
        <v>1830</v>
      </c>
      <c r="N14" s="790"/>
    </row>
    <row r="15" spans="2:17" x14ac:dyDescent="0.35">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x14ac:dyDescent="0.35">
      <c r="B16" s="787"/>
      <c r="C16" s="799" t="s">
        <v>301</v>
      </c>
      <c r="D16" s="767" t="s">
        <v>302</v>
      </c>
      <c r="E16" s="768" t="s">
        <v>302</v>
      </c>
      <c r="F16" s="769" t="s">
        <v>302</v>
      </c>
      <c r="G16" s="768" t="s">
        <v>302</v>
      </c>
      <c r="H16" s="769" t="s">
        <v>302</v>
      </c>
      <c r="I16" s="769" t="s">
        <v>302</v>
      </c>
      <c r="J16" s="770" t="s">
        <v>302</v>
      </c>
      <c r="K16" s="770" t="s">
        <v>302</v>
      </c>
    </row>
    <row r="17" spans="2:17" ht="16.5" x14ac:dyDescent="0.35">
      <c r="B17" s="787">
        <v>9</v>
      </c>
      <c r="C17" s="796" t="s">
        <v>303</v>
      </c>
      <c r="D17" s="767">
        <v>2.4</v>
      </c>
      <c r="E17" s="768">
        <v>0.4</v>
      </c>
      <c r="F17" s="769">
        <v>0</v>
      </c>
      <c r="G17" s="768">
        <v>3</v>
      </c>
      <c r="H17" s="769">
        <v>1.4</v>
      </c>
      <c r="I17" s="769">
        <v>0.9</v>
      </c>
      <c r="J17" s="770">
        <v>0.4</v>
      </c>
      <c r="K17" s="770">
        <v>12.7</v>
      </c>
    </row>
    <row r="18" spans="2:17" ht="16.5" x14ac:dyDescent="0.35">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x14ac:dyDescent="0.35">
      <c r="B19" s="787">
        <v>11</v>
      </c>
      <c r="C19" s="796" t="s">
        <v>305</v>
      </c>
      <c r="D19" s="767">
        <v>1576.9</v>
      </c>
      <c r="E19" s="768">
        <v>1621.2</v>
      </c>
      <c r="F19" s="769">
        <v>1724.6</v>
      </c>
      <c r="G19" s="768">
        <v>1720.8</v>
      </c>
      <c r="H19" s="769">
        <v>1732.3</v>
      </c>
      <c r="I19" s="769">
        <v>1735.9</v>
      </c>
      <c r="J19" s="770">
        <v>1739.2</v>
      </c>
      <c r="K19" s="770">
        <v>1716.6</v>
      </c>
    </row>
    <row r="20" spans="2:17" x14ac:dyDescent="0.35">
      <c r="B20" s="787"/>
      <c r="C20" s="801" t="s">
        <v>306</v>
      </c>
      <c r="D20" s="771" t="s">
        <v>302</v>
      </c>
      <c r="E20" s="298" t="s">
        <v>302</v>
      </c>
      <c r="F20" s="772" t="s">
        <v>302</v>
      </c>
      <c r="G20" s="298" t="s">
        <v>302</v>
      </c>
      <c r="H20" s="772" t="s">
        <v>302</v>
      </c>
      <c r="I20" s="772" t="s">
        <v>302</v>
      </c>
      <c r="J20" s="773" t="s">
        <v>302</v>
      </c>
      <c r="K20" s="773" t="s">
        <v>302</v>
      </c>
    </row>
    <row r="21" spans="2:17" ht="16.5" x14ac:dyDescent="0.35">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x14ac:dyDescent="0.35">
      <c r="B22" s="788">
        <v>13</v>
      </c>
      <c r="C22" s="798" t="s">
        <v>307</v>
      </c>
      <c r="D22" s="774">
        <v>709.3</v>
      </c>
      <c r="E22" s="760">
        <v>716.6</v>
      </c>
      <c r="F22" s="775">
        <v>724.8</v>
      </c>
      <c r="G22" s="760">
        <v>720.7</v>
      </c>
      <c r="H22" s="775">
        <v>716.4</v>
      </c>
      <c r="I22" s="775">
        <v>713.4</v>
      </c>
      <c r="J22" s="776">
        <v>716.4</v>
      </c>
      <c r="K22" s="776">
        <v>719</v>
      </c>
    </row>
    <row r="23" spans="2:17" x14ac:dyDescent="0.35">
      <c r="B23" s="788">
        <v>14</v>
      </c>
      <c r="C23" s="795" t="s">
        <v>308</v>
      </c>
      <c r="D23" s="763">
        <v>2886.2</v>
      </c>
      <c r="E23" s="764">
        <v>2901.2</v>
      </c>
      <c r="F23" s="765">
        <v>2909.1</v>
      </c>
      <c r="G23" s="764">
        <v>2923</v>
      </c>
      <c r="H23" s="765">
        <v>2937.4</v>
      </c>
      <c r="I23" s="765">
        <v>2954</v>
      </c>
      <c r="J23" s="766">
        <v>2963</v>
      </c>
      <c r="K23" s="766">
        <v>2948.2</v>
      </c>
    </row>
    <row r="24" spans="2:17" x14ac:dyDescent="0.35">
      <c r="B24" s="787">
        <v>15</v>
      </c>
      <c r="C24" s="796" t="s">
        <v>309</v>
      </c>
      <c r="D24" s="767">
        <v>1621.9</v>
      </c>
      <c r="E24" s="768">
        <v>1630.2</v>
      </c>
      <c r="F24" s="769">
        <v>1638.4</v>
      </c>
      <c r="G24" s="768">
        <v>1642.2</v>
      </c>
      <c r="H24" s="769">
        <v>1645.9</v>
      </c>
      <c r="I24" s="769">
        <v>1649.7</v>
      </c>
      <c r="J24" s="770">
        <v>1654</v>
      </c>
      <c r="K24" s="770">
        <v>1639.4</v>
      </c>
    </row>
    <row r="25" spans="2:17" x14ac:dyDescent="0.35">
      <c r="B25" s="787">
        <v>16</v>
      </c>
      <c r="C25" s="797" t="s">
        <v>310</v>
      </c>
      <c r="D25" s="771">
        <v>1264.3</v>
      </c>
      <c r="E25" s="298">
        <v>1271.0999999999999</v>
      </c>
      <c r="F25" s="772">
        <v>1270.7</v>
      </c>
      <c r="G25" s="298">
        <v>1280.8</v>
      </c>
      <c r="H25" s="772">
        <v>1291.4000000000001</v>
      </c>
      <c r="I25" s="772">
        <v>1304.3</v>
      </c>
      <c r="J25" s="773">
        <v>1309</v>
      </c>
      <c r="K25" s="773">
        <v>1308.8</v>
      </c>
    </row>
    <row r="26" spans="2:17" x14ac:dyDescent="0.35">
      <c r="B26" s="788">
        <v>17</v>
      </c>
      <c r="C26" s="798" t="s">
        <v>311</v>
      </c>
      <c r="D26" s="774">
        <v>5711.8</v>
      </c>
      <c r="E26" s="760">
        <v>4123</v>
      </c>
      <c r="F26" s="775">
        <v>8112.8</v>
      </c>
      <c r="G26" s="760">
        <v>4719</v>
      </c>
      <c r="H26" s="775">
        <v>4172.1000000000004</v>
      </c>
      <c r="I26" s="775">
        <v>4096.3</v>
      </c>
      <c r="J26" s="776">
        <v>4216.6000000000004</v>
      </c>
      <c r="K26" s="776">
        <v>4233.7</v>
      </c>
    </row>
    <row r="27" spans="2:17" x14ac:dyDescent="0.35">
      <c r="B27" s="787">
        <v>18</v>
      </c>
      <c r="C27" s="797" t="s">
        <v>312</v>
      </c>
      <c r="D27" s="771">
        <v>5650.5</v>
      </c>
      <c r="E27" s="298">
        <v>4061</v>
      </c>
      <c r="F27" s="772">
        <v>8050.2</v>
      </c>
      <c r="G27" s="298">
        <v>4656.8999999999996</v>
      </c>
      <c r="H27" s="772">
        <v>4109.3</v>
      </c>
      <c r="I27" s="772">
        <v>4007.4</v>
      </c>
      <c r="J27" s="773">
        <v>4143</v>
      </c>
      <c r="K27" s="773">
        <v>4169</v>
      </c>
    </row>
    <row r="28" spans="2:17" x14ac:dyDescent="0.35">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x14ac:dyDescent="0.35">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x14ac:dyDescent="0.35">
      <c r="B30" s="787"/>
      <c r="C30" s="799" t="s">
        <v>315</v>
      </c>
      <c r="D30" s="767" t="s">
        <v>302</v>
      </c>
      <c r="E30" s="768" t="s">
        <v>302</v>
      </c>
      <c r="F30" s="769" t="s">
        <v>302</v>
      </c>
      <c r="G30" s="768" t="s">
        <v>302</v>
      </c>
      <c r="H30" s="769" t="s">
        <v>302</v>
      </c>
      <c r="I30" s="769" t="s">
        <v>302</v>
      </c>
      <c r="J30" s="770" t="s">
        <v>302</v>
      </c>
      <c r="K30" s="770" t="s">
        <v>302</v>
      </c>
    </row>
    <row r="31" spans="2:17" ht="16.5" x14ac:dyDescent="0.35">
      <c r="B31" s="787">
        <v>21</v>
      </c>
      <c r="C31" s="796" t="s">
        <v>316</v>
      </c>
      <c r="D31" s="767">
        <v>14.2</v>
      </c>
      <c r="E31" s="768">
        <v>14.1</v>
      </c>
      <c r="F31" s="769">
        <v>14.1</v>
      </c>
      <c r="G31" s="768">
        <v>14.1</v>
      </c>
      <c r="H31" s="769">
        <v>14.1</v>
      </c>
      <c r="I31" s="769">
        <v>14.2</v>
      </c>
      <c r="J31" s="770">
        <v>14.2</v>
      </c>
      <c r="K31" s="770">
        <v>14.3</v>
      </c>
    </row>
    <row r="32" spans="2:17" x14ac:dyDescent="0.35">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x14ac:dyDescent="0.35">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6.5" x14ac:dyDescent="0.35">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x14ac:dyDescent="0.35">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x14ac:dyDescent="0.35">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x14ac:dyDescent="0.35">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x14ac:dyDescent="0.35">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x14ac:dyDescent="0.35">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x14ac:dyDescent="0.35">
      <c r="B40" s="787">
        <v>29</v>
      </c>
      <c r="C40" s="796" t="s">
        <v>325</v>
      </c>
      <c r="D40" s="767">
        <v>2317</v>
      </c>
      <c r="E40" s="768">
        <v>735.2</v>
      </c>
      <c r="F40" s="769">
        <v>4706</v>
      </c>
      <c r="G40" s="768">
        <v>1344</v>
      </c>
      <c r="H40" s="769">
        <v>801.7</v>
      </c>
      <c r="I40" s="769">
        <v>735.6</v>
      </c>
      <c r="J40" s="770">
        <v>907.1</v>
      </c>
      <c r="K40" s="770">
        <v>939</v>
      </c>
    </row>
    <row r="41" spans="2:13" x14ac:dyDescent="0.35">
      <c r="B41" s="787"/>
      <c r="C41" s="802" t="s">
        <v>326</v>
      </c>
      <c r="D41" s="771" t="s">
        <v>302</v>
      </c>
      <c r="E41" s="298" t="s">
        <v>302</v>
      </c>
      <c r="F41" s="772" t="s">
        <v>302</v>
      </c>
      <c r="G41" s="298" t="s">
        <v>302</v>
      </c>
      <c r="H41" s="772" t="s">
        <v>302</v>
      </c>
      <c r="I41" s="772" t="s">
        <v>302</v>
      </c>
      <c r="J41" s="773" t="s">
        <v>302</v>
      </c>
      <c r="K41" s="773" t="s">
        <v>302</v>
      </c>
    </row>
    <row r="42" spans="2:13" ht="16.5" x14ac:dyDescent="0.35">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6.5" x14ac:dyDescent="0.35">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x14ac:dyDescent="0.35">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6.5" x14ac:dyDescent="0.35">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6.5" x14ac:dyDescent="0.35">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x14ac:dyDescent="0.35">
      <c r="B47" s="787">
        <v>35</v>
      </c>
      <c r="C47" s="796" t="s">
        <v>332</v>
      </c>
      <c r="D47" s="767">
        <v>61.4</v>
      </c>
      <c r="E47" s="768">
        <v>62</v>
      </c>
      <c r="F47" s="769">
        <v>62.6</v>
      </c>
      <c r="G47" s="768">
        <v>62.1</v>
      </c>
      <c r="H47" s="769">
        <v>62.8</v>
      </c>
      <c r="I47" s="769">
        <v>88.9</v>
      </c>
      <c r="J47" s="770">
        <v>73.599999999999994</v>
      </c>
      <c r="K47" s="770">
        <v>64.8</v>
      </c>
    </row>
    <row r="48" spans="2:13" x14ac:dyDescent="0.35">
      <c r="B48" s="788">
        <v>36</v>
      </c>
      <c r="C48" s="795" t="s">
        <v>333</v>
      </c>
      <c r="D48" s="763">
        <v>1534.7</v>
      </c>
      <c r="E48" s="764">
        <v>1529.1</v>
      </c>
      <c r="F48" s="765">
        <v>1537.7</v>
      </c>
      <c r="G48" s="764">
        <v>1548.9</v>
      </c>
      <c r="H48" s="765">
        <v>1558.1</v>
      </c>
      <c r="I48" s="765">
        <v>1568.7</v>
      </c>
      <c r="J48" s="766">
        <v>1581.1</v>
      </c>
      <c r="K48" s="766">
        <v>1588.9</v>
      </c>
    </row>
    <row r="49" spans="2:11" x14ac:dyDescent="0.35">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x14ac:dyDescent="0.35">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x14ac:dyDescent="0.35">
      <c r="B51" s="788">
        <v>39</v>
      </c>
      <c r="C51" s="798" t="s">
        <v>336</v>
      </c>
      <c r="D51" s="774">
        <v>15321.7</v>
      </c>
      <c r="E51" s="760">
        <v>15169.7</v>
      </c>
      <c r="F51" s="775">
        <v>15935.3</v>
      </c>
      <c r="G51" s="760">
        <v>16095.5</v>
      </c>
      <c r="H51" s="775">
        <v>16107.6</v>
      </c>
      <c r="I51" s="775">
        <v>16278.2</v>
      </c>
      <c r="J51" s="776">
        <v>16323.7</v>
      </c>
      <c r="K51" s="776">
        <v>16413</v>
      </c>
    </row>
    <row r="52" spans="2:11" x14ac:dyDescent="0.35">
      <c r="B52" s="787">
        <v>40</v>
      </c>
      <c r="C52" s="797" t="s">
        <v>337</v>
      </c>
      <c r="D52" s="771">
        <v>14857.9</v>
      </c>
      <c r="E52" s="298">
        <v>14699.6</v>
      </c>
      <c r="F52" s="772">
        <v>15458.9</v>
      </c>
      <c r="G52" s="298">
        <v>15614.6</v>
      </c>
      <c r="H52" s="772">
        <v>15623.1</v>
      </c>
      <c r="I52" s="772">
        <v>15790</v>
      </c>
      <c r="J52" s="773">
        <v>15832.3</v>
      </c>
      <c r="K52" s="773">
        <v>15922.2</v>
      </c>
    </row>
    <row r="53" spans="2:11" x14ac:dyDescent="0.35">
      <c r="B53" s="787"/>
      <c r="C53" s="796" t="s">
        <v>338</v>
      </c>
      <c r="D53" s="767">
        <v>249.2</v>
      </c>
      <c r="E53" s="768">
        <v>255.3</v>
      </c>
      <c r="F53" s="769">
        <v>261.5</v>
      </c>
      <c r="G53" s="768">
        <v>264.8</v>
      </c>
      <c r="H53" s="769">
        <v>268.2</v>
      </c>
      <c r="I53" s="769">
        <v>271.60000000000002</v>
      </c>
      <c r="J53" s="770">
        <v>274.5</v>
      </c>
      <c r="K53" s="770">
        <v>274.10000000000002</v>
      </c>
    </row>
    <row r="54" spans="2:11" x14ac:dyDescent="0.35">
      <c r="B54" s="787">
        <v>41</v>
      </c>
      <c r="C54" s="808" t="s">
        <v>339</v>
      </c>
      <c r="D54" s="771" t="s">
        <v>302</v>
      </c>
      <c r="E54" s="298" t="s">
        <v>302</v>
      </c>
      <c r="F54" s="772" t="s">
        <v>302</v>
      </c>
      <c r="G54" s="298" t="s">
        <v>302</v>
      </c>
      <c r="H54" s="772" t="s">
        <v>302</v>
      </c>
      <c r="I54" s="772" t="s">
        <v>302</v>
      </c>
      <c r="J54" s="773" t="s">
        <v>302</v>
      </c>
      <c r="K54" s="773" t="s">
        <v>302</v>
      </c>
    </row>
    <row r="55" spans="2:11" ht="16.5" x14ac:dyDescent="0.35">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x14ac:dyDescent="0.35">
      <c r="B56" s="787">
        <v>43</v>
      </c>
      <c r="C56" s="796" t="s">
        <v>341</v>
      </c>
      <c r="D56" s="767">
        <v>214.7</v>
      </c>
      <c r="E56" s="768">
        <v>214.8</v>
      </c>
      <c r="F56" s="769">
        <v>215</v>
      </c>
      <c r="G56" s="768">
        <v>216.1</v>
      </c>
      <c r="H56" s="769">
        <v>216.4</v>
      </c>
      <c r="I56" s="769">
        <v>216.7</v>
      </c>
      <c r="J56" s="770">
        <v>216.9</v>
      </c>
      <c r="K56" s="770">
        <v>216.7</v>
      </c>
    </row>
    <row r="57" spans="2:11" x14ac:dyDescent="0.35">
      <c r="B57" s="787">
        <v>44</v>
      </c>
      <c r="C57" s="797" t="s">
        <v>342</v>
      </c>
      <c r="D57" s="771">
        <v>115.2</v>
      </c>
      <c r="E57" s="298">
        <v>115.3</v>
      </c>
      <c r="F57" s="772">
        <v>115.5</v>
      </c>
      <c r="G57" s="298">
        <v>115.7</v>
      </c>
      <c r="H57" s="772">
        <v>116</v>
      </c>
      <c r="I57" s="772">
        <v>116.3</v>
      </c>
      <c r="J57" s="773">
        <v>116.5</v>
      </c>
      <c r="K57" s="773">
        <v>116.8</v>
      </c>
    </row>
    <row r="58" spans="2:11" x14ac:dyDescent="0.35">
      <c r="B58" s="787">
        <v>45</v>
      </c>
      <c r="C58" s="796" t="s">
        <v>343</v>
      </c>
      <c r="D58" s="767">
        <v>99.5</v>
      </c>
      <c r="E58" s="768">
        <v>99.5</v>
      </c>
      <c r="F58" s="769">
        <v>99.5</v>
      </c>
      <c r="G58" s="768">
        <v>100.4</v>
      </c>
      <c r="H58" s="769">
        <v>100.4</v>
      </c>
      <c r="I58" s="769">
        <v>100.4</v>
      </c>
      <c r="J58" s="770">
        <v>100.4</v>
      </c>
      <c r="K58" s="770">
        <v>99.9</v>
      </c>
    </row>
    <row r="59" spans="2:11" ht="15" thickBot="1" x14ac:dyDescent="0.4">
      <c r="B59" s="789">
        <v>46</v>
      </c>
      <c r="C59" s="810" t="s">
        <v>344</v>
      </c>
      <c r="D59" s="778">
        <v>3798.6</v>
      </c>
      <c r="E59" s="779">
        <v>2376.9</v>
      </c>
      <c r="F59" s="780">
        <v>5763.5</v>
      </c>
      <c r="G59" s="779">
        <v>2247</v>
      </c>
      <c r="H59" s="780">
        <v>1743.2</v>
      </c>
      <c r="I59" s="780">
        <v>1571.8</v>
      </c>
      <c r="J59" s="781">
        <v>1724.4</v>
      </c>
      <c r="K59" s="781">
        <v>1710.9</v>
      </c>
    </row>
    <row r="60" spans="2:11" x14ac:dyDescent="0.35">
      <c r="B60" t="s">
        <v>345</v>
      </c>
      <c r="C60" s="782" t="s">
        <v>346</v>
      </c>
    </row>
    <row r="61" spans="2:11" x14ac:dyDescent="0.35">
      <c r="B61" t="s">
        <v>347</v>
      </c>
      <c r="C61" s="783" t="s">
        <v>348</v>
      </c>
    </row>
    <row r="62" spans="2:11" x14ac:dyDescent="0.35">
      <c r="B62" t="s">
        <v>349</v>
      </c>
      <c r="C62" s="783" t="s">
        <v>350</v>
      </c>
    </row>
    <row r="63" spans="2:11" x14ac:dyDescent="0.35">
      <c r="B63" t="s">
        <v>351</v>
      </c>
      <c r="C63" s="783" t="s">
        <v>352</v>
      </c>
    </row>
    <row r="65" spans="2:16" x14ac:dyDescent="0.35">
      <c r="B65" s="1145" t="s">
        <v>353</v>
      </c>
      <c r="C65" s="1145"/>
      <c r="D65" s="1145"/>
      <c r="E65" s="1145"/>
      <c r="F65" s="1145"/>
      <c r="G65" s="1145"/>
      <c r="H65" s="1145"/>
      <c r="I65" s="1145"/>
      <c r="J65" s="1145"/>
      <c r="K65" s="1145"/>
      <c r="L65" s="1145"/>
      <c r="M65" s="1145"/>
      <c r="N65" s="1145"/>
      <c r="O65" s="1145"/>
      <c r="P65" s="1145"/>
    </row>
    <row r="66" spans="2:16" x14ac:dyDescent="0.35">
      <c r="B66" s="1146" t="s">
        <v>354</v>
      </c>
      <c r="C66" s="1146"/>
      <c r="D66" s="1146"/>
      <c r="E66" s="1146"/>
      <c r="F66" s="1146"/>
      <c r="G66" s="1146"/>
      <c r="H66" s="1146"/>
      <c r="I66" s="1146"/>
      <c r="J66" s="1146"/>
      <c r="K66" s="1146"/>
      <c r="L66" s="1146"/>
      <c r="M66" s="1146"/>
      <c r="N66" s="1146"/>
      <c r="O66" s="1146"/>
      <c r="P66" s="1146"/>
    </row>
    <row r="67" spans="2:16" x14ac:dyDescent="0.35">
      <c r="B67" s="1138" t="s">
        <v>355</v>
      </c>
      <c r="C67" s="1138"/>
      <c r="D67" s="1138"/>
      <c r="E67" s="1138"/>
      <c r="F67" s="1138"/>
      <c r="G67" s="1138"/>
      <c r="H67" s="1138"/>
      <c r="I67" s="1138"/>
      <c r="J67" s="1138"/>
      <c r="K67" s="1138"/>
      <c r="L67" s="1138"/>
      <c r="M67" s="1138"/>
      <c r="N67" s="1138"/>
      <c r="O67" s="1138"/>
      <c r="P67" s="1138"/>
    </row>
    <row r="68" spans="2:16" x14ac:dyDescent="0.35">
      <c r="B68" s="1139" t="s">
        <v>356</v>
      </c>
      <c r="C68" s="1139"/>
      <c r="D68" s="1139"/>
      <c r="E68" s="1139"/>
      <c r="F68" s="1139"/>
      <c r="G68" s="1139"/>
      <c r="H68" s="1139"/>
      <c r="I68" s="1139"/>
      <c r="J68" s="1139"/>
      <c r="K68" s="1139"/>
      <c r="L68" s="1139"/>
      <c r="M68" s="1139"/>
      <c r="N68" s="1139"/>
      <c r="O68" s="1139"/>
      <c r="P68" s="1139"/>
    </row>
    <row r="69" spans="2:16" x14ac:dyDescent="0.35">
      <c r="B69" s="1140" t="s">
        <v>357</v>
      </c>
      <c r="C69" s="1140"/>
      <c r="D69" s="1140"/>
      <c r="E69" s="1140"/>
      <c r="F69" s="1140"/>
      <c r="G69" s="1140"/>
      <c r="H69" s="1140"/>
      <c r="I69" s="1140"/>
      <c r="J69" s="1140"/>
      <c r="K69" s="1140"/>
      <c r="L69" s="1140"/>
      <c r="M69" s="1140"/>
      <c r="N69" s="1140"/>
      <c r="O69" s="1140"/>
      <c r="P69" s="1140"/>
    </row>
    <row r="70" spans="2:16" x14ac:dyDescent="0.35">
      <c r="B70" s="1149" t="s">
        <v>358</v>
      </c>
      <c r="C70" s="1149"/>
      <c r="D70" s="1149"/>
      <c r="E70" s="1149"/>
      <c r="F70" s="1149"/>
      <c r="G70" s="1149"/>
      <c r="H70" s="1149"/>
      <c r="I70" s="1149"/>
      <c r="J70" s="1149"/>
      <c r="K70" s="1149"/>
      <c r="L70" s="1149"/>
      <c r="M70" s="1149"/>
      <c r="N70" s="1149"/>
      <c r="O70" s="1149"/>
      <c r="P70" s="1149"/>
    </row>
    <row r="71" spans="2:16" x14ac:dyDescent="0.35">
      <c r="B71" s="1138" t="s">
        <v>359</v>
      </c>
      <c r="C71" s="1138"/>
      <c r="D71" s="1138"/>
      <c r="E71" s="1138"/>
      <c r="F71" s="1138"/>
      <c r="G71" s="1138"/>
      <c r="H71" s="1138"/>
      <c r="I71" s="1138"/>
      <c r="J71" s="1138"/>
      <c r="K71" s="1138"/>
      <c r="L71" s="1138"/>
      <c r="M71" s="1138"/>
      <c r="N71" s="1138"/>
      <c r="O71" s="1138"/>
      <c r="P71" s="1138"/>
    </row>
    <row r="72" spans="2:16" x14ac:dyDescent="0.35">
      <c r="B72" s="1138" t="s">
        <v>360</v>
      </c>
      <c r="C72" s="1138"/>
      <c r="D72" s="1138"/>
      <c r="E72" s="1138"/>
      <c r="F72" s="1138"/>
      <c r="G72" s="1138"/>
      <c r="H72" s="1138"/>
      <c r="I72" s="1138"/>
      <c r="J72" s="1138"/>
      <c r="K72" s="1138"/>
      <c r="L72" s="1138"/>
      <c r="M72" s="1138"/>
      <c r="N72" s="1138"/>
      <c r="O72" s="1138"/>
      <c r="P72" s="1138"/>
    </row>
    <row r="73" spans="2:16" x14ac:dyDescent="0.35">
      <c r="B73" s="1149" t="s">
        <v>361</v>
      </c>
      <c r="C73" s="1149"/>
      <c r="D73" s="1149"/>
      <c r="E73" s="1149"/>
      <c r="F73" s="1149"/>
      <c r="G73" s="1149"/>
      <c r="H73" s="1149"/>
      <c r="I73" s="1149"/>
      <c r="J73" s="1149"/>
      <c r="K73" s="1149"/>
      <c r="L73" s="1149"/>
      <c r="M73" s="1149"/>
      <c r="N73" s="1149"/>
      <c r="O73" s="1149"/>
      <c r="P73" s="1149"/>
    </row>
    <row r="74" spans="2:16" x14ac:dyDescent="0.35">
      <c r="B74" s="443"/>
    </row>
    <row r="75" spans="2:16" x14ac:dyDescent="0.35">
      <c r="B75" s="1150" t="s">
        <v>362</v>
      </c>
      <c r="C75" s="1150"/>
      <c r="D75" s="1150"/>
      <c r="E75" s="1150"/>
      <c r="F75" s="1150"/>
      <c r="G75" s="1150"/>
      <c r="H75" s="1150"/>
      <c r="I75" s="1150"/>
      <c r="J75" s="1150"/>
      <c r="K75" s="1150"/>
      <c r="L75" s="1150"/>
      <c r="M75" s="1150"/>
      <c r="N75" s="1150"/>
      <c r="O75" s="1150"/>
      <c r="P75" s="1150"/>
    </row>
    <row r="76" spans="2:16" x14ac:dyDescent="0.35">
      <c r="B76" s="404"/>
    </row>
    <row r="77" spans="2:16" x14ac:dyDescent="0.35">
      <c r="B77" t="s">
        <v>363</v>
      </c>
    </row>
    <row r="79" spans="2:16" x14ac:dyDescent="0.35">
      <c r="B79" t="s">
        <v>364</v>
      </c>
    </row>
    <row r="80" spans="2:16" x14ac:dyDescent="0.35">
      <c r="B80" s="443"/>
    </row>
    <row r="81" spans="2:2" x14ac:dyDescent="0.35">
      <c r="B81" s="784"/>
    </row>
    <row r="83" spans="2:2" x14ac:dyDescent="0.35">
      <c r="B83" t="s">
        <v>365</v>
      </c>
    </row>
    <row r="84" spans="2:2" x14ac:dyDescent="0.35">
      <c r="B84" t="s">
        <v>366</v>
      </c>
    </row>
    <row r="85" spans="2:2" x14ac:dyDescent="0.35">
      <c r="B85" s="403" t="s">
        <v>367</v>
      </c>
    </row>
    <row r="87" spans="2:2" ht="13.75" customHeight="1" x14ac:dyDescent="0.35">
      <c r="B87" t="s">
        <v>363</v>
      </c>
    </row>
    <row r="88" spans="2:2" ht="6" customHeight="1" x14ac:dyDescent="0.35"/>
    <row r="89" spans="2:2" x14ac:dyDescent="0.35">
      <c r="B89" t="s">
        <v>364</v>
      </c>
    </row>
    <row r="91" spans="2:2" x14ac:dyDescent="0.35">
      <c r="B91" s="444"/>
    </row>
    <row r="92" spans="2:2" x14ac:dyDescent="0.35">
      <c r="B92" s="444"/>
    </row>
    <row r="93" spans="2:2" x14ac:dyDescent="0.35">
      <c r="B93" s="444"/>
    </row>
    <row r="99" spans="2:16" x14ac:dyDescent="0.35">
      <c r="B99" s="445"/>
      <c r="C99" s="445"/>
      <c r="D99" s="445"/>
      <c r="E99" s="445"/>
      <c r="F99" s="445"/>
      <c r="G99" s="445"/>
      <c r="H99" s="445"/>
      <c r="I99" s="445"/>
      <c r="J99" s="445"/>
      <c r="K99" s="449"/>
      <c r="L99" s="449"/>
      <c r="M99" s="449"/>
      <c r="N99" s="449"/>
      <c r="O99" s="449"/>
      <c r="P99" s="449"/>
    </row>
    <row r="100" spans="2:16" x14ac:dyDescent="0.35">
      <c r="B100" s="1148"/>
      <c r="C100" s="1148"/>
      <c r="D100" s="1148"/>
      <c r="E100" s="1148"/>
      <c r="F100" s="1148"/>
      <c r="G100" s="1148"/>
      <c r="H100" s="1148"/>
      <c r="I100" s="1148"/>
      <c r="J100" s="1148"/>
      <c r="K100" s="1148"/>
      <c r="L100" s="1148"/>
      <c r="M100" s="1148"/>
      <c r="N100" s="1148"/>
      <c r="O100" s="1148"/>
      <c r="P100" s="1148"/>
    </row>
    <row r="101" spans="2:16" x14ac:dyDescent="0.35">
      <c r="B101" s="1148"/>
      <c r="C101" s="1148"/>
      <c r="D101" s="1148"/>
      <c r="E101" s="1148"/>
      <c r="F101" s="1148"/>
      <c r="G101" s="1148"/>
      <c r="H101" s="1148"/>
      <c r="I101" s="1148"/>
      <c r="J101" s="1148"/>
      <c r="K101" s="1148"/>
      <c r="L101" s="1148"/>
      <c r="M101" s="1148"/>
      <c r="N101" s="1148"/>
      <c r="O101" s="1148"/>
      <c r="P101" s="1148"/>
    </row>
    <row r="102" spans="2:16" x14ac:dyDescent="0.35">
      <c r="B102" s="1148"/>
      <c r="C102" s="1148"/>
      <c r="D102" s="1148"/>
      <c r="E102" s="1148"/>
      <c r="F102" s="1148"/>
      <c r="G102" s="1148"/>
      <c r="H102" s="1148"/>
      <c r="I102" s="450"/>
      <c r="J102" s="450"/>
      <c r="K102" s="445"/>
      <c r="L102" s="445"/>
      <c r="M102" s="445"/>
      <c r="N102" s="445"/>
      <c r="O102" s="445"/>
      <c r="P102" s="445"/>
    </row>
    <row r="103" spans="2:16" x14ac:dyDescent="0.35">
      <c r="B103" s="451"/>
      <c r="C103" s="445"/>
      <c r="D103" s="1147"/>
      <c r="E103" s="1147"/>
      <c r="F103" s="1147"/>
      <c r="G103" s="1147"/>
      <c r="H103" s="1147"/>
      <c r="I103" s="1147"/>
      <c r="J103" s="1147"/>
    </row>
    <row r="104" spans="2:16" x14ac:dyDescent="0.35">
      <c r="B104" s="447"/>
      <c r="C104" s="445"/>
      <c r="D104" s="1147"/>
      <c r="E104" s="1147"/>
      <c r="F104" s="1147"/>
      <c r="G104" s="1147"/>
      <c r="H104" s="1147"/>
      <c r="I104" s="1147"/>
      <c r="J104" s="1147"/>
    </row>
    <row r="105" spans="2:16" x14ac:dyDescent="0.35">
      <c r="B105" s="445"/>
      <c r="C105" s="445"/>
      <c r="D105" s="447"/>
      <c r="E105" s="447"/>
      <c r="F105" s="447"/>
      <c r="G105" s="447"/>
      <c r="H105" s="447"/>
      <c r="I105" s="447"/>
      <c r="J105" s="447"/>
    </row>
    <row r="106" spans="2:16" x14ac:dyDescent="0.35">
      <c r="B106" s="451"/>
      <c r="C106" s="452"/>
      <c r="D106" s="448"/>
      <c r="E106" s="448"/>
      <c r="F106" s="448"/>
      <c r="G106" s="448"/>
      <c r="H106" s="448"/>
      <c r="I106" s="448"/>
      <c r="J106" s="448"/>
    </row>
    <row r="107" spans="2:16" x14ac:dyDescent="0.35">
      <c r="B107" s="451"/>
      <c r="C107" s="452"/>
      <c r="D107" s="448"/>
      <c r="E107" s="448"/>
      <c r="F107" s="448"/>
      <c r="G107" s="448"/>
      <c r="H107" s="448"/>
      <c r="I107" s="448"/>
      <c r="J107" s="448"/>
    </row>
    <row r="108" spans="2:16" x14ac:dyDescent="0.35">
      <c r="B108" s="445"/>
      <c r="C108" s="445"/>
      <c r="D108" s="442"/>
      <c r="E108" s="442"/>
      <c r="F108" s="442"/>
      <c r="G108" s="442"/>
      <c r="H108" s="442"/>
      <c r="I108" s="442"/>
      <c r="J108" s="442"/>
    </row>
    <row r="109" spans="2:16" x14ac:dyDescent="0.35">
      <c r="B109" s="445"/>
      <c r="C109" s="445"/>
      <c r="D109" s="442"/>
      <c r="E109" s="442"/>
      <c r="F109" s="442"/>
      <c r="G109" s="442"/>
      <c r="H109" s="442"/>
      <c r="I109" s="442"/>
      <c r="J109" s="442"/>
    </row>
    <row r="110" spans="2:16" x14ac:dyDescent="0.35">
      <c r="B110" s="445"/>
      <c r="C110" s="445"/>
      <c r="D110" s="442"/>
      <c r="E110" s="442"/>
      <c r="F110" s="442"/>
      <c r="G110" s="442"/>
      <c r="H110" s="442"/>
      <c r="I110" s="442"/>
      <c r="J110" s="442"/>
    </row>
    <row r="111" spans="2:16" x14ac:dyDescent="0.35">
      <c r="B111" s="445"/>
      <c r="C111" s="445"/>
      <c r="D111" s="442"/>
      <c r="E111" s="442"/>
      <c r="F111" s="442"/>
      <c r="G111" s="442"/>
      <c r="H111" s="442"/>
      <c r="I111" s="442"/>
      <c r="J111" s="442"/>
    </row>
    <row r="112" spans="2:16" x14ac:dyDescent="0.35">
      <c r="B112" s="451"/>
      <c r="C112" s="452"/>
      <c r="D112" s="448"/>
      <c r="E112" s="448"/>
      <c r="F112" s="448"/>
      <c r="G112" s="448"/>
      <c r="H112" s="448"/>
      <c r="I112" s="448"/>
      <c r="J112" s="448"/>
    </row>
    <row r="113" spans="2:10" x14ac:dyDescent="0.35">
      <c r="B113" s="445"/>
      <c r="C113" s="445"/>
      <c r="D113" s="442"/>
      <c r="E113" s="442"/>
      <c r="F113" s="442"/>
      <c r="G113" s="442"/>
      <c r="H113" s="442"/>
      <c r="I113" s="442"/>
      <c r="J113" s="442"/>
    </row>
    <row r="114" spans="2:10" x14ac:dyDescent="0.35">
      <c r="B114" s="445"/>
      <c r="C114" s="453"/>
      <c r="D114" s="442"/>
      <c r="E114" s="442"/>
      <c r="F114" s="442"/>
      <c r="G114" s="442"/>
      <c r="H114" s="442"/>
      <c r="I114" s="442"/>
      <c r="J114" s="442"/>
    </row>
    <row r="115" spans="2:10" x14ac:dyDescent="0.35">
      <c r="B115" s="445"/>
      <c r="C115" s="445"/>
      <c r="D115" s="442"/>
      <c r="E115" s="442"/>
      <c r="F115" s="442"/>
      <c r="G115" s="442"/>
      <c r="H115" s="442"/>
      <c r="I115" s="442"/>
      <c r="J115" s="442"/>
    </row>
    <row r="116" spans="2:10" x14ac:dyDescent="0.35">
      <c r="B116" s="445"/>
      <c r="C116" s="445"/>
      <c r="D116" s="442"/>
      <c r="E116" s="442"/>
      <c r="F116" s="442"/>
      <c r="G116" s="442"/>
      <c r="H116" s="442"/>
      <c r="I116" s="442"/>
      <c r="J116" s="442"/>
    </row>
    <row r="117" spans="2:10" x14ac:dyDescent="0.35">
      <c r="B117" s="445"/>
      <c r="C117" s="445"/>
      <c r="D117" s="442"/>
      <c r="E117" s="442"/>
      <c r="F117" s="442"/>
      <c r="G117" s="442"/>
      <c r="H117" s="442"/>
      <c r="I117" s="442"/>
      <c r="J117" s="442"/>
    </row>
    <row r="118" spans="2:10" x14ac:dyDescent="0.35">
      <c r="B118" s="445"/>
      <c r="C118" s="453"/>
      <c r="D118" s="442"/>
      <c r="E118" s="442"/>
      <c r="F118" s="442"/>
      <c r="G118" s="442"/>
      <c r="H118" s="442"/>
      <c r="I118" s="442"/>
      <c r="J118" s="442"/>
    </row>
    <row r="119" spans="2:10" x14ac:dyDescent="0.35">
      <c r="B119" s="445"/>
      <c r="C119" s="445"/>
      <c r="D119" s="442"/>
      <c r="E119" s="442"/>
      <c r="F119" s="442"/>
      <c r="G119" s="442"/>
      <c r="H119" s="442"/>
      <c r="I119" s="442"/>
      <c r="J119" s="442"/>
    </row>
    <row r="120" spans="2:10" x14ac:dyDescent="0.35">
      <c r="B120" s="451"/>
      <c r="C120" s="452"/>
      <c r="D120" s="448"/>
      <c r="E120" s="448"/>
      <c r="F120" s="448"/>
      <c r="G120" s="448"/>
      <c r="H120" s="448"/>
      <c r="I120" s="448"/>
      <c r="J120" s="448"/>
    </row>
    <row r="121" spans="2:10" x14ac:dyDescent="0.35">
      <c r="B121" s="451"/>
      <c r="C121" s="452"/>
      <c r="D121" s="448"/>
      <c r="E121" s="448"/>
      <c r="F121" s="448"/>
      <c r="G121" s="448"/>
      <c r="H121" s="448"/>
      <c r="I121" s="448"/>
      <c r="J121" s="448"/>
    </row>
    <row r="122" spans="2:10" x14ac:dyDescent="0.35">
      <c r="B122" s="445"/>
      <c r="C122" s="445"/>
      <c r="D122" s="442"/>
      <c r="E122" s="442"/>
      <c r="F122" s="442"/>
      <c r="G122" s="442"/>
      <c r="H122" s="442"/>
      <c r="I122" s="442"/>
      <c r="J122" s="442"/>
    </row>
    <row r="123" spans="2:10" x14ac:dyDescent="0.35">
      <c r="B123" s="445"/>
      <c r="C123" s="445"/>
      <c r="D123" s="442"/>
      <c r="E123" s="442"/>
      <c r="F123" s="442"/>
      <c r="G123" s="442"/>
      <c r="H123" s="442"/>
      <c r="I123" s="442"/>
      <c r="J123" s="442"/>
    </row>
    <row r="124" spans="2:10" x14ac:dyDescent="0.35">
      <c r="B124" s="451"/>
      <c r="C124" s="452"/>
      <c r="D124" s="448"/>
      <c r="E124" s="448"/>
      <c r="F124" s="448"/>
      <c r="G124" s="448"/>
      <c r="H124" s="448"/>
      <c r="I124" s="448"/>
      <c r="J124" s="448"/>
    </row>
    <row r="125" spans="2:10" x14ac:dyDescent="0.35">
      <c r="B125" s="445"/>
      <c r="C125" s="445"/>
      <c r="D125" s="442"/>
      <c r="E125" s="442"/>
      <c r="F125" s="442"/>
      <c r="G125" s="442"/>
      <c r="H125" s="442"/>
      <c r="I125" s="442"/>
      <c r="J125" s="442"/>
    </row>
    <row r="126" spans="2:10" x14ac:dyDescent="0.35">
      <c r="B126" s="445"/>
      <c r="C126" s="445"/>
      <c r="D126" s="442"/>
      <c r="E126" s="442"/>
      <c r="F126" s="442"/>
      <c r="G126" s="442"/>
      <c r="H126" s="442"/>
      <c r="I126" s="442"/>
      <c r="J126" s="442"/>
    </row>
    <row r="127" spans="2:10" x14ac:dyDescent="0.35">
      <c r="B127" s="445"/>
      <c r="C127" s="445"/>
      <c r="D127" s="442"/>
      <c r="E127" s="442"/>
      <c r="F127" s="442"/>
      <c r="G127" s="442"/>
      <c r="H127" s="442"/>
      <c r="I127" s="442"/>
      <c r="J127" s="442"/>
    </row>
    <row r="128" spans="2:10" x14ac:dyDescent="0.35">
      <c r="B128" s="445"/>
      <c r="C128" s="453"/>
      <c r="D128" s="442"/>
      <c r="E128" s="442"/>
      <c r="F128" s="442"/>
      <c r="G128" s="442"/>
      <c r="H128" s="442"/>
      <c r="I128" s="442"/>
      <c r="J128" s="442"/>
    </row>
    <row r="129" spans="2:10" x14ac:dyDescent="0.35">
      <c r="B129" s="445"/>
      <c r="C129" s="445"/>
      <c r="D129" s="442"/>
      <c r="E129" s="442"/>
      <c r="F129" s="442"/>
      <c r="G129" s="442"/>
      <c r="H129" s="442"/>
      <c r="I129" s="442"/>
      <c r="J129" s="442"/>
    </row>
    <row r="130" spans="2:10" x14ac:dyDescent="0.35">
      <c r="B130" s="445"/>
      <c r="C130" s="445"/>
      <c r="D130" s="442"/>
      <c r="E130" s="442"/>
      <c r="F130" s="442"/>
      <c r="G130" s="442"/>
      <c r="H130" s="442"/>
      <c r="I130" s="442"/>
      <c r="J130" s="442"/>
    </row>
    <row r="131" spans="2:10" x14ac:dyDescent="0.35">
      <c r="B131" s="445"/>
      <c r="C131" s="445"/>
      <c r="D131" s="442"/>
      <c r="E131" s="442"/>
      <c r="F131" s="442"/>
      <c r="G131" s="442"/>
      <c r="H131" s="442"/>
      <c r="I131" s="442"/>
      <c r="J131" s="442"/>
    </row>
    <row r="132" spans="2:10" x14ac:dyDescent="0.35">
      <c r="B132" s="445"/>
      <c r="C132" s="454"/>
      <c r="D132" s="442"/>
      <c r="E132" s="442"/>
      <c r="F132" s="442"/>
      <c r="G132" s="442"/>
      <c r="H132" s="442"/>
      <c r="I132" s="442"/>
      <c r="J132" s="442"/>
    </row>
    <row r="133" spans="2:10" x14ac:dyDescent="0.35">
      <c r="B133" s="445"/>
      <c r="C133" s="272"/>
      <c r="D133" s="442"/>
      <c r="E133" s="442"/>
      <c r="F133" s="442"/>
      <c r="G133" s="442"/>
      <c r="H133" s="442"/>
      <c r="I133" s="442"/>
      <c r="J133" s="442"/>
    </row>
    <row r="134" spans="2:10" x14ac:dyDescent="0.35">
      <c r="B134" s="445"/>
      <c r="C134" s="455"/>
      <c r="D134" s="442"/>
      <c r="E134" s="442"/>
      <c r="F134" s="442"/>
      <c r="G134" s="442"/>
      <c r="H134" s="442"/>
      <c r="I134" s="442"/>
      <c r="J134" s="442"/>
    </row>
    <row r="135" spans="2:10" x14ac:dyDescent="0.35">
      <c r="B135" s="445"/>
      <c r="C135" s="455"/>
      <c r="D135" s="442"/>
      <c r="E135" s="442"/>
      <c r="F135" s="442"/>
      <c r="G135" s="442"/>
      <c r="H135" s="442"/>
      <c r="I135" s="442"/>
      <c r="J135" s="442"/>
    </row>
    <row r="136" spans="2:10" x14ac:dyDescent="0.35">
      <c r="B136" s="445"/>
      <c r="C136" s="455"/>
      <c r="D136" s="442"/>
      <c r="E136" s="442"/>
      <c r="F136" s="442"/>
      <c r="G136" s="442"/>
      <c r="H136" s="442"/>
      <c r="I136" s="442"/>
      <c r="J136" s="442"/>
    </row>
    <row r="137" spans="2:10" x14ac:dyDescent="0.35">
      <c r="B137" s="445"/>
      <c r="C137" s="445"/>
      <c r="D137" s="442"/>
      <c r="E137" s="442"/>
      <c r="F137" s="442"/>
      <c r="G137" s="442"/>
      <c r="H137" s="442"/>
      <c r="I137" s="442"/>
      <c r="J137" s="442"/>
    </row>
    <row r="138" spans="2:10" x14ac:dyDescent="0.35">
      <c r="B138" s="445"/>
      <c r="C138" s="445"/>
      <c r="D138" s="442"/>
      <c r="E138" s="442"/>
      <c r="F138" s="442"/>
      <c r="G138" s="442"/>
      <c r="H138" s="442"/>
      <c r="I138" s="442"/>
      <c r="J138" s="442"/>
    </row>
    <row r="139" spans="2:10" x14ac:dyDescent="0.35">
      <c r="B139" s="445"/>
      <c r="C139" s="454"/>
      <c r="D139" s="442"/>
      <c r="E139" s="442"/>
      <c r="F139" s="442"/>
      <c r="G139" s="442"/>
      <c r="H139" s="442"/>
      <c r="I139" s="442"/>
      <c r="J139" s="442"/>
    </row>
    <row r="140" spans="2:10" x14ac:dyDescent="0.35">
      <c r="B140" s="445"/>
      <c r="C140" s="272"/>
      <c r="D140" s="442"/>
      <c r="E140" s="442"/>
      <c r="F140" s="442"/>
      <c r="G140" s="442"/>
      <c r="H140" s="442"/>
      <c r="I140" s="442"/>
      <c r="J140" s="442"/>
    </row>
    <row r="141" spans="2:10" x14ac:dyDescent="0.35">
      <c r="B141" s="445"/>
      <c r="C141" s="272"/>
      <c r="D141" s="442"/>
      <c r="E141" s="442"/>
      <c r="F141" s="442"/>
      <c r="G141" s="442"/>
      <c r="H141" s="442"/>
      <c r="I141" s="442"/>
      <c r="J141" s="442"/>
    </row>
    <row r="142" spans="2:10" x14ac:dyDescent="0.35">
      <c r="B142" s="445"/>
      <c r="C142" s="445"/>
      <c r="D142" s="442"/>
      <c r="E142" s="442"/>
      <c r="F142" s="442"/>
      <c r="G142" s="442"/>
      <c r="H142" s="442"/>
      <c r="I142" s="442"/>
      <c r="J142" s="442"/>
    </row>
    <row r="143" spans="2:10" x14ac:dyDescent="0.35">
      <c r="B143" s="445"/>
      <c r="C143" s="445"/>
      <c r="D143" s="442"/>
      <c r="E143" s="442"/>
      <c r="F143" s="442"/>
      <c r="G143" s="442"/>
      <c r="H143" s="442"/>
      <c r="I143" s="442"/>
      <c r="J143" s="442"/>
    </row>
    <row r="144" spans="2:10" x14ac:dyDescent="0.35">
      <c r="B144" s="445"/>
      <c r="C144" s="445"/>
      <c r="D144" s="442"/>
      <c r="E144" s="442"/>
      <c r="F144" s="442"/>
      <c r="G144" s="442"/>
      <c r="H144" s="442"/>
      <c r="I144" s="442"/>
      <c r="J144" s="442"/>
    </row>
    <row r="145" spans="2:16" x14ac:dyDescent="0.35">
      <c r="B145" s="451"/>
      <c r="C145" s="452"/>
      <c r="D145" s="448"/>
      <c r="E145" s="448"/>
      <c r="F145" s="448"/>
      <c r="G145" s="448"/>
      <c r="H145" s="448"/>
      <c r="I145" s="448"/>
      <c r="J145" s="448"/>
    </row>
    <row r="146" spans="2:16" x14ac:dyDescent="0.35">
      <c r="B146" s="451"/>
      <c r="C146" s="452"/>
      <c r="D146" s="448"/>
      <c r="E146" s="448"/>
      <c r="F146" s="448"/>
      <c r="G146" s="448"/>
      <c r="H146" s="448"/>
      <c r="I146" s="448"/>
      <c r="J146" s="448"/>
    </row>
    <row r="147" spans="2:16" x14ac:dyDescent="0.35">
      <c r="B147" s="451"/>
      <c r="C147" s="452"/>
      <c r="D147" s="448"/>
      <c r="E147" s="448"/>
      <c r="F147" s="448"/>
      <c r="G147" s="448"/>
      <c r="H147" s="448"/>
      <c r="I147" s="448"/>
      <c r="J147" s="448"/>
    </row>
    <row r="148" spans="2:16" x14ac:dyDescent="0.35">
      <c r="B148" s="451"/>
      <c r="C148" s="452"/>
      <c r="D148" s="448"/>
      <c r="E148" s="448"/>
      <c r="F148" s="448"/>
      <c r="G148" s="448"/>
      <c r="H148" s="448"/>
      <c r="I148" s="448"/>
      <c r="J148" s="448"/>
    </row>
    <row r="149" spans="2:16" x14ac:dyDescent="0.35">
      <c r="B149" s="445"/>
      <c r="C149" s="445"/>
      <c r="D149" s="442"/>
      <c r="E149" s="442"/>
      <c r="F149" s="442"/>
      <c r="G149" s="442"/>
      <c r="H149" s="442"/>
      <c r="I149" s="442"/>
      <c r="J149" s="442"/>
    </row>
    <row r="150" spans="2:16" x14ac:dyDescent="0.35">
      <c r="B150" s="445"/>
      <c r="C150" s="445"/>
      <c r="D150" s="442"/>
      <c r="E150" s="442"/>
      <c r="F150" s="442"/>
      <c r="G150" s="442"/>
      <c r="H150" s="442"/>
      <c r="I150" s="442"/>
      <c r="J150" s="442"/>
    </row>
    <row r="151" spans="2:16" x14ac:dyDescent="0.35">
      <c r="B151" s="445"/>
      <c r="C151" s="456"/>
      <c r="D151" s="442"/>
      <c r="E151" s="442"/>
      <c r="F151" s="442"/>
      <c r="G151" s="442"/>
      <c r="H151" s="442"/>
      <c r="I151" s="442"/>
      <c r="J151" s="442"/>
    </row>
    <row r="152" spans="2:16" x14ac:dyDescent="0.35">
      <c r="B152" s="445"/>
      <c r="C152" s="455"/>
      <c r="D152" s="442"/>
      <c r="E152" s="442"/>
      <c r="F152" s="442"/>
      <c r="G152" s="442"/>
      <c r="H152" s="442"/>
      <c r="I152" s="442"/>
      <c r="J152" s="442"/>
    </row>
    <row r="153" spans="2:16" x14ac:dyDescent="0.35">
      <c r="B153" s="445"/>
      <c r="C153" s="445"/>
      <c r="D153" s="442"/>
      <c r="E153" s="442"/>
      <c r="F153" s="442"/>
      <c r="G153" s="442"/>
      <c r="H153" s="442"/>
      <c r="I153" s="442"/>
      <c r="J153" s="442"/>
    </row>
    <row r="154" spans="2:16" x14ac:dyDescent="0.35">
      <c r="B154" s="445"/>
      <c r="C154" s="445"/>
      <c r="D154" s="442"/>
      <c r="E154" s="442"/>
      <c r="F154" s="442"/>
      <c r="G154" s="442"/>
      <c r="H154" s="442"/>
      <c r="I154" s="442"/>
      <c r="J154" s="442"/>
    </row>
    <row r="155" spans="2:16" x14ac:dyDescent="0.35">
      <c r="B155" s="445"/>
      <c r="C155" s="445"/>
      <c r="D155" s="442"/>
      <c r="E155" s="442"/>
      <c r="F155" s="442"/>
      <c r="G155" s="442"/>
      <c r="H155" s="442"/>
      <c r="I155" s="442"/>
      <c r="J155" s="442"/>
    </row>
    <row r="156" spans="2:16" x14ac:dyDescent="0.35">
      <c r="B156" s="451"/>
      <c r="C156" s="452"/>
      <c r="D156" s="448"/>
      <c r="E156" s="448"/>
      <c r="F156" s="448"/>
      <c r="G156" s="448"/>
      <c r="H156" s="448"/>
      <c r="I156" s="448"/>
      <c r="J156" s="448"/>
    </row>
    <row r="157" spans="2:16" x14ac:dyDescent="0.35">
      <c r="B157" s="445"/>
      <c r="C157" s="445"/>
      <c r="D157" s="445"/>
      <c r="E157" s="445"/>
      <c r="F157" s="445"/>
      <c r="G157" s="445"/>
      <c r="H157" s="445"/>
      <c r="I157" s="445"/>
      <c r="J157" s="445"/>
      <c r="K157" s="445"/>
      <c r="L157" s="445"/>
      <c r="M157" s="445"/>
      <c r="N157" s="445"/>
      <c r="O157" s="445"/>
      <c r="P157" s="445"/>
    </row>
    <row r="158" spans="2:16" x14ac:dyDescent="0.35">
      <c r="B158" s="445"/>
      <c r="C158" s="457"/>
      <c r="D158" s="445"/>
      <c r="E158" s="445"/>
      <c r="F158" s="445"/>
      <c r="G158" s="445"/>
      <c r="H158" s="445"/>
      <c r="I158" s="445"/>
      <c r="J158" s="445"/>
      <c r="K158" s="445"/>
      <c r="L158" s="445"/>
      <c r="M158" s="445"/>
      <c r="N158" s="445"/>
      <c r="O158" s="445"/>
      <c r="P158" s="445"/>
    </row>
    <row r="159" spans="2:16" x14ac:dyDescent="0.35">
      <c r="B159" s="445"/>
      <c r="C159" s="445"/>
      <c r="D159" s="445"/>
      <c r="E159" s="445"/>
      <c r="F159" s="445"/>
      <c r="G159" s="445"/>
      <c r="H159" s="445"/>
      <c r="I159" s="445"/>
      <c r="J159" s="445"/>
      <c r="K159" s="445"/>
      <c r="L159" s="445"/>
      <c r="M159" s="445"/>
      <c r="N159" s="445"/>
      <c r="O159" s="445"/>
      <c r="P159" s="445"/>
    </row>
    <row r="160" spans="2:16" x14ac:dyDescent="0.35">
      <c r="B160" s="445"/>
      <c r="C160" s="445"/>
      <c r="D160" s="445"/>
      <c r="E160" s="445"/>
      <c r="F160" s="445"/>
      <c r="G160" s="445"/>
      <c r="H160" s="445"/>
      <c r="I160" s="445"/>
      <c r="J160" s="445"/>
      <c r="K160" s="445"/>
      <c r="L160" s="445"/>
      <c r="M160" s="445"/>
      <c r="N160" s="445"/>
      <c r="O160" s="445"/>
      <c r="P160" s="445"/>
    </row>
    <row r="161" spans="2:16" x14ac:dyDescent="0.35">
      <c r="B161" s="445"/>
      <c r="C161" s="445"/>
      <c r="D161" s="445"/>
      <c r="E161" s="445"/>
      <c r="F161" s="445"/>
      <c r="G161" s="445"/>
      <c r="H161" s="445"/>
      <c r="I161" s="445"/>
      <c r="J161" s="445"/>
      <c r="K161" s="445"/>
      <c r="L161" s="445"/>
      <c r="M161" s="445"/>
      <c r="N161" s="445"/>
      <c r="O161" s="445"/>
      <c r="P161" s="445"/>
    </row>
    <row r="162" spans="2:16" x14ac:dyDescent="0.35">
      <c r="B162" s="445"/>
      <c r="C162" s="445"/>
      <c r="D162" s="445"/>
      <c r="E162" s="445"/>
      <c r="F162" s="445"/>
      <c r="G162" s="445"/>
      <c r="H162" s="445"/>
      <c r="I162" s="445"/>
      <c r="J162" s="445"/>
      <c r="K162" s="445"/>
      <c r="L162" s="445"/>
      <c r="M162" s="445"/>
      <c r="N162" s="445"/>
      <c r="O162" s="445"/>
      <c r="P162" s="445"/>
    </row>
    <row r="163" spans="2:16" x14ac:dyDescent="0.35">
      <c r="B163" s="445"/>
      <c r="C163" s="445"/>
      <c r="D163" s="445"/>
      <c r="E163" s="445"/>
      <c r="F163" s="445"/>
      <c r="G163" s="445"/>
      <c r="H163" s="445"/>
      <c r="I163" s="445"/>
      <c r="J163" s="445"/>
      <c r="K163" s="445"/>
      <c r="L163" s="445"/>
      <c r="M163" s="445"/>
      <c r="N163" s="445"/>
      <c r="O163" s="445"/>
      <c r="P163" s="445"/>
    </row>
    <row r="164" spans="2:16" x14ac:dyDescent="0.35">
      <c r="B164" s="445"/>
      <c r="C164" s="445"/>
      <c r="D164" s="445"/>
      <c r="E164" s="445"/>
      <c r="F164" s="445"/>
      <c r="G164" s="445"/>
      <c r="H164" s="445"/>
      <c r="I164" s="445"/>
      <c r="J164" s="445"/>
      <c r="K164" s="445"/>
      <c r="L164" s="445"/>
      <c r="M164" s="445"/>
      <c r="N164" s="445"/>
      <c r="O164" s="445"/>
      <c r="P164" s="445"/>
    </row>
    <row r="165" spans="2:16" x14ac:dyDescent="0.35">
      <c r="B165" s="458"/>
      <c r="C165" s="458"/>
      <c r="D165" s="458"/>
      <c r="E165" s="458"/>
      <c r="F165" s="458"/>
      <c r="G165" s="458"/>
      <c r="H165" s="458"/>
      <c r="I165" s="458"/>
      <c r="J165" s="445"/>
      <c r="K165" s="445"/>
      <c r="L165" s="445"/>
      <c r="M165" s="445"/>
      <c r="N165" s="445"/>
      <c r="O165" s="445"/>
      <c r="P165" s="445"/>
    </row>
    <row r="166" spans="2:16" x14ac:dyDescent="0.35">
      <c r="B166" s="459"/>
      <c r="C166" s="457"/>
      <c r="D166" s="457"/>
      <c r="E166" s="457"/>
      <c r="F166" s="457"/>
      <c r="G166" s="457"/>
      <c r="H166" s="457"/>
      <c r="I166" s="457"/>
      <c r="J166" s="445"/>
      <c r="K166" s="445"/>
      <c r="L166" s="445"/>
      <c r="M166" s="445"/>
      <c r="N166" s="445"/>
      <c r="O166" s="445"/>
      <c r="P166" s="445"/>
    </row>
    <row r="167" spans="2:16" x14ac:dyDescent="0.35">
      <c r="B167" s="460"/>
      <c r="C167" s="458"/>
      <c r="D167" s="445"/>
      <c r="E167" s="445"/>
      <c r="F167" s="445"/>
      <c r="G167" s="445"/>
      <c r="H167" s="445"/>
      <c r="I167" s="445"/>
      <c r="J167" s="445"/>
      <c r="K167" s="445"/>
      <c r="L167" s="445"/>
      <c r="M167" s="445"/>
      <c r="N167" s="445"/>
      <c r="O167" s="445"/>
      <c r="P167" s="445"/>
    </row>
    <row r="168" spans="2:16" x14ac:dyDescent="0.35">
      <c r="B168" s="458"/>
      <c r="C168" s="458"/>
      <c r="D168" s="458"/>
      <c r="E168" s="458"/>
      <c r="F168" s="458"/>
      <c r="G168" s="458"/>
      <c r="H168" s="458"/>
      <c r="I168" s="458"/>
      <c r="J168" s="445"/>
      <c r="K168" s="445"/>
      <c r="L168" s="445"/>
      <c r="M168" s="445"/>
      <c r="N168" s="445"/>
      <c r="O168" s="445"/>
      <c r="P168" s="445"/>
    </row>
    <row r="169" spans="2:16" x14ac:dyDescent="0.35">
      <c r="B169" s="458"/>
      <c r="C169" s="458"/>
      <c r="D169" s="445"/>
      <c r="E169" s="445"/>
      <c r="F169" s="445"/>
      <c r="G169" s="445"/>
      <c r="H169" s="445"/>
      <c r="I169" s="445"/>
      <c r="J169" s="445"/>
      <c r="K169" s="445"/>
      <c r="L169" s="445"/>
      <c r="M169" s="445"/>
      <c r="N169" s="445"/>
      <c r="O169" s="445"/>
      <c r="P169" s="445"/>
    </row>
    <row r="170" spans="2:16" x14ac:dyDescent="0.35">
      <c r="B170" s="457"/>
      <c r="C170" s="457"/>
      <c r="D170" s="457"/>
      <c r="E170" s="457"/>
      <c r="F170" s="457"/>
      <c r="G170" s="457"/>
      <c r="H170" s="457"/>
      <c r="I170" s="457"/>
      <c r="J170" s="445"/>
      <c r="K170" s="445"/>
      <c r="L170" s="445"/>
      <c r="M170" s="445"/>
      <c r="N170" s="445"/>
      <c r="O170" s="445"/>
      <c r="P170" s="445"/>
    </row>
    <row r="171" spans="2:16" x14ac:dyDescent="0.35">
      <c r="B171" s="460"/>
      <c r="C171" s="461"/>
      <c r="D171" s="445"/>
      <c r="E171" s="445"/>
      <c r="F171" s="445"/>
      <c r="G171" s="445"/>
      <c r="H171" s="445"/>
      <c r="I171" s="445"/>
      <c r="J171" s="445"/>
      <c r="K171" s="445"/>
      <c r="L171" s="445"/>
      <c r="M171" s="445"/>
      <c r="N171" s="445"/>
      <c r="O171" s="445"/>
      <c r="P171" s="445"/>
    </row>
    <row r="172" spans="2:16" x14ac:dyDescent="0.35">
      <c r="B172" s="462"/>
      <c r="C172" s="462"/>
      <c r="D172" s="462"/>
      <c r="E172" s="462"/>
      <c r="F172" s="462"/>
      <c r="G172" s="462"/>
      <c r="H172" s="462"/>
      <c r="I172" s="462"/>
      <c r="J172" s="462"/>
      <c r="K172" s="445"/>
      <c r="L172" s="445"/>
      <c r="M172" s="445"/>
      <c r="N172" s="445"/>
      <c r="O172" s="445"/>
      <c r="P172" s="445"/>
    </row>
    <row r="173" spans="2:16" x14ac:dyDescent="0.35">
      <c r="B173" s="459"/>
      <c r="C173" s="463"/>
      <c r="D173" s="445"/>
      <c r="E173" s="445"/>
      <c r="F173" s="445"/>
      <c r="G173" s="445"/>
      <c r="H173" s="445"/>
      <c r="I173" s="445"/>
      <c r="J173" s="445"/>
      <c r="K173" s="445"/>
      <c r="L173" s="445"/>
      <c r="M173" s="445"/>
      <c r="N173" s="445"/>
      <c r="O173" s="445"/>
      <c r="P173" s="445"/>
    </row>
    <row r="174" spans="2:16" x14ac:dyDescent="0.35">
      <c r="B174" s="458"/>
      <c r="C174" s="458"/>
      <c r="D174" s="458"/>
      <c r="E174" s="458"/>
      <c r="F174" s="458"/>
      <c r="G174" s="458"/>
      <c r="H174" s="458"/>
      <c r="I174" s="458"/>
      <c r="J174" s="445"/>
      <c r="K174" s="445"/>
      <c r="L174" s="445"/>
      <c r="M174" s="445"/>
      <c r="N174" s="445"/>
      <c r="O174" s="445"/>
      <c r="P174" s="445"/>
    </row>
    <row r="175" spans="2:16" x14ac:dyDescent="0.35">
      <c r="B175" s="458"/>
      <c r="C175" s="458"/>
      <c r="D175" s="458"/>
      <c r="E175" s="458"/>
      <c r="F175" s="458"/>
      <c r="G175" s="458"/>
      <c r="H175" s="458"/>
      <c r="I175" s="458"/>
      <c r="J175" s="445"/>
      <c r="K175" s="445"/>
      <c r="L175" s="445"/>
      <c r="M175" s="445"/>
      <c r="N175" s="445"/>
      <c r="O175" s="445"/>
      <c r="P175" s="445"/>
    </row>
    <row r="176" spans="2:16" x14ac:dyDescent="0.35">
      <c r="B176" s="458"/>
      <c r="C176" s="458"/>
      <c r="D176" s="458"/>
      <c r="E176" s="458"/>
      <c r="F176" s="458"/>
      <c r="G176" s="458"/>
      <c r="H176" s="458"/>
      <c r="I176" s="458"/>
      <c r="J176" s="445"/>
      <c r="K176" s="445"/>
      <c r="L176" s="445"/>
      <c r="M176" s="445"/>
      <c r="N176" s="445"/>
      <c r="O176" s="445"/>
      <c r="P176" s="445"/>
    </row>
    <row r="177" spans="2:16" x14ac:dyDescent="0.35">
      <c r="B177" s="458"/>
      <c r="C177" s="458"/>
      <c r="D177" s="445"/>
      <c r="E177" s="445"/>
      <c r="F177" s="445"/>
      <c r="G177" s="445"/>
      <c r="H177" s="445"/>
      <c r="I177" s="445"/>
      <c r="J177" s="445"/>
      <c r="K177" s="445"/>
      <c r="L177" s="445"/>
      <c r="M177" s="445"/>
      <c r="N177" s="445"/>
      <c r="O177" s="445"/>
      <c r="P177" s="445"/>
    </row>
    <row r="178" spans="2:16" x14ac:dyDescent="0.35">
      <c r="B178" s="462"/>
      <c r="C178" s="462"/>
      <c r="D178" s="462"/>
      <c r="E178" s="462"/>
      <c r="F178" s="462"/>
      <c r="G178" s="462"/>
      <c r="H178" s="462"/>
      <c r="I178" s="462"/>
      <c r="J178" s="445"/>
      <c r="K178" s="445"/>
      <c r="L178" s="445"/>
      <c r="M178" s="445"/>
      <c r="N178" s="445"/>
      <c r="O178" s="445"/>
      <c r="P178" s="445"/>
    </row>
    <row r="179" spans="2:16" x14ac:dyDescent="0.35">
      <c r="B179" s="460"/>
      <c r="C179" s="464"/>
      <c r="D179" s="445"/>
      <c r="E179" s="445"/>
      <c r="F179" s="445"/>
      <c r="G179" s="445"/>
      <c r="H179" s="445"/>
      <c r="I179" s="445"/>
      <c r="J179" s="445"/>
      <c r="K179" s="445"/>
      <c r="L179" s="445"/>
      <c r="M179" s="445"/>
      <c r="N179" s="445"/>
      <c r="O179" s="445"/>
      <c r="P179" s="445"/>
    </row>
    <row r="180" spans="2:16" x14ac:dyDescent="0.35">
      <c r="B180" s="445"/>
      <c r="C180" s="445"/>
      <c r="D180" s="445"/>
      <c r="E180" s="445"/>
      <c r="F180" s="445"/>
      <c r="G180" s="445"/>
      <c r="H180" s="445"/>
      <c r="I180" s="445"/>
      <c r="J180" s="445"/>
      <c r="K180" s="445"/>
      <c r="L180" s="445"/>
      <c r="M180" s="445"/>
      <c r="N180" s="445"/>
      <c r="O180" s="445"/>
      <c r="P180" s="445"/>
    </row>
    <row r="181" spans="2:16" x14ac:dyDescent="0.35">
      <c r="B181" s="445"/>
      <c r="C181" s="445"/>
      <c r="D181" s="445"/>
      <c r="E181" s="445"/>
      <c r="F181" s="445"/>
      <c r="G181" s="445"/>
      <c r="H181" s="445"/>
      <c r="I181" s="445"/>
      <c r="J181" s="445"/>
      <c r="K181" s="445"/>
      <c r="L181" s="445"/>
      <c r="M181" s="445"/>
      <c r="N181" s="445"/>
      <c r="O181" s="445"/>
      <c r="P181" s="445"/>
    </row>
    <row r="182" spans="2:16" x14ac:dyDescent="0.35">
      <c r="B182" s="445"/>
      <c r="C182" s="445"/>
      <c r="D182" s="445"/>
      <c r="E182" s="445"/>
      <c r="F182" s="445"/>
      <c r="G182" s="445"/>
      <c r="H182" s="445"/>
      <c r="I182" s="445"/>
      <c r="J182" s="445"/>
      <c r="K182" s="445"/>
      <c r="L182" s="445"/>
      <c r="M182" s="445"/>
      <c r="N182" s="445"/>
      <c r="O182" s="445"/>
      <c r="P182" s="445"/>
    </row>
    <row r="183" spans="2:16" x14ac:dyDescent="0.35">
      <c r="B183" s="459"/>
      <c r="C183" s="457"/>
      <c r="D183" s="457"/>
      <c r="E183" s="457"/>
      <c r="F183" s="457"/>
      <c r="G183" s="457"/>
      <c r="H183" s="457"/>
      <c r="I183" s="457"/>
      <c r="J183" s="445"/>
      <c r="K183" s="445"/>
      <c r="L183" s="445"/>
      <c r="M183" s="445"/>
      <c r="N183" s="445"/>
      <c r="O183" s="445"/>
      <c r="P183" s="445"/>
    </row>
    <row r="184" spans="2:16" x14ac:dyDescent="0.35">
      <c r="B184" s="445"/>
      <c r="C184" s="445"/>
      <c r="D184" s="445"/>
      <c r="E184" s="445"/>
      <c r="F184" s="445"/>
      <c r="G184" s="445"/>
      <c r="H184" s="445"/>
      <c r="I184" s="445"/>
      <c r="J184" s="445"/>
      <c r="K184" s="445"/>
      <c r="L184" s="445"/>
      <c r="M184" s="445"/>
      <c r="N184" s="445"/>
      <c r="O184" s="445"/>
      <c r="P184" s="445"/>
    </row>
    <row r="185" spans="2:16" x14ac:dyDescent="0.35">
      <c r="B185" s="445"/>
      <c r="C185" s="445"/>
      <c r="D185" s="445"/>
      <c r="E185" s="445"/>
      <c r="F185" s="445"/>
      <c r="G185" s="445"/>
      <c r="H185" s="445"/>
      <c r="I185" s="445"/>
      <c r="J185" s="445"/>
      <c r="K185" s="445"/>
      <c r="L185" s="445"/>
      <c r="M185" s="445"/>
      <c r="N185" s="445"/>
      <c r="O185" s="445"/>
      <c r="P185" s="445"/>
    </row>
    <row r="186" spans="2:16" x14ac:dyDescent="0.35">
      <c r="B186" s="445"/>
      <c r="C186" s="445"/>
      <c r="D186" s="445"/>
      <c r="E186" s="445"/>
      <c r="F186" s="445"/>
      <c r="G186" s="445"/>
      <c r="H186" s="445"/>
      <c r="I186" s="445"/>
      <c r="J186" s="445"/>
      <c r="K186" s="445"/>
      <c r="L186" s="445"/>
      <c r="M186" s="445"/>
      <c r="N186" s="445"/>
      <c r="O186" s="445"/>
      <c r="P186" s="445"/>
    </row>
    <row r="187" spans="2:16" x14ac:dyDescent="0.35">
      <c r="B187" s="445"/>
      <c r="C187" s="445"/>
      <c r="D187" s="445"/>
      <c r="E187" s="445"/>
      <c r="F187" s="445"/>
      <c r="G187" s="445"/>
      <c r="H187" s="445"/>
      <c r="I187" s="445"/>
      <c r="J187" s="445"/>
      <c r="K187" s="445"/>
      <c r="L187" s="445"/>
      <c r="M187" s="445"/>
      <c r="N187" s="445"/>
      <c r="O187" s="445"/>
      <c r="P187" s="445"/>
    </row>
    <row r="188" spans="2:16" x14ac:dyDescent="0.35">
      <c r="B188" s="445"/>
      <c r="C188" s="445"/>
      <c r="D188" s="445"/>
      <c r="E188" s="445"/>
      <c r="F188" s="445"/>
      <c r="G188" s="445"/>
      <c r="H188" s="445"/>
      <c r="I188" s="445"/>
      <c r="J188" s="445"/>
      <c r="K188" s="445"/>
      <c r="L188" s="445"/>
      <c r="M188" s="445"/>
      <c r="N188" s="445"/>
      <c r="O188" s="445"/>
      <c r="P188" s="445"/>
    </row>
    <row r="189" spans="2:16" x14ac:dyDescent="0.35">
      <c r="B189" s="446"/>
      <c r="C189" s="445"/>
      <c r="D189" s="445"/>
      <c r="E189" s="445"/>
      <c r="F189" s="445"/>
      <c r="G189" s="445"/>
      <c r="H189" s="445"/>
      <c r="I189" s="445"/>
      <c r="J189" s="445"/>
      <c r="K189" s="445"/>
      <c r="L189" s="445"/>
      <c r="M189" s="445"/>
      <c r="N189" s="445"/>
      <c r="O189" s="445"/>
      <c r="P189" s="445"/>
    </row>
    <row r="190" spans="2:16" x14ac:dyDescent="0.35">
      <c r="B190" s="446"/>
      <c r="C190" s="445"/>
      <c r="D190" s="445"/>
      <c r="E190" s="445"/>
      <c r="F190" s="445"/>
      <c r="G190" s="445"/>
      <c r="H190" s="445"/>
      <c r="I190" s="445"/>
      <c r="J190" s="445"/>
      <c r="K190" s="445"/>
      <c r="L190" s="445"/>
      <c r="M190" s="445"/>
      <c r="N190" s="445"/>
      <c r="O190" s="445"/>
      <c r="P190" s="445"/>
    </row>
    <row r="191" spans="2:16" x14ac:dyDescent="0.35">
      <c r="B191" s="446"/>
      <c r="C191" s="445"/>
      <c r="D191" s="445"/>
      <c r="E191" s="445"/>
      <c r="F191" s="445"/>
      <c r="G191" s="445"/>
      <c r="H191" s="445"/>
      <c r="I191" s="445"/>
      <c r="J191" s="445"/>
      <c r="K191" s="445"/>
      <c r="L191" s="445"/>
      <c r="M191" s="445"/>
      <c r="N191" s="445"/>
      <c r="O191" s="445"/>
      <c r="P191" s="445"/>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2021-11-24T20:55:06Z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